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505" yWindow="465" windowWidth="14310" windowHeight="10575"/>
  </bookViews>
  <sheets>
    <sheet name="финансир" sheetId="1" r:id="rId1"/>
    <sheet name="Целевые индикаторы " sheetId="7" r:id="rId2"/>
    <sheet name="план-график" sheetId="10" r:id="rId3"/>
  </sheets>
  <definedNames>
    <definedName name="_ftn1" localSheetId="0">финансир!$A$18</definedName>
    <definedName name="_ftn2" localSheetId="0">финансир!$A$20</definedName>
    <definedName name="_ftn3" localSheetId="0">финансир!$A$21</definedName>
    <definedName name="_ftn4" localSheetId="0">финансир!$A$22</definedName>
    <definedName name="_ftnref1" localSheetId="0">финансир!$D$6</definedName>
    <definedName name="_ftnref2" localSheetId="0">финансир!$E$6</definedName>
    <definedName name="_ftnref3" localSheetId="0">финансир!$F$6</definedName>
    <definedName name="_ftnref4" localSheetId="0">финансир!$G$6</definedName>
    <definedName name="_xlnm.Print_Titles" localSheetId="0">финансир!$7:$7</definedName>
    <definedName name="_xlnm.Print_Area" localSheetId="2">'план-график'!$A$1:$L$172</definedName>
    <definedName name="_xlnm.Print_Area" localSheetId="0">финансир!$A$1:$P$154</definedName>
  </definedNames>
  <calcPr calcId="145621" refMode="R1C1"/>
</workbook>
</file>

<file path=xl/calcChain.xml><?xml version="1.0" encoding="utf-8"?>
<calcChain xmlns="http://schemas.openxmlformats.org/spreadsheetml/2006/main">
  <c r="M142" i="1" l="1"/>
  <c r="M124" i="1"/>
  <c r="M136" i="1" l="1"/>
  <c r="E136" i="1"/>
  <c r="E32" i="1"/>
  <c r="I136" i="1"/>
  <c r="I142" i="1"/>
  <c r="H152" i="1"/>
  <c r="I149" i="1"/>
  <c r="I152" i="1" s="1"/>
  <c r="I147" i="1"/>
  <c r="H147" i="1"/>
  <c r="H136" i="1"/>
  <c r="I129" i="1"/>
  <c r="H129" i="1"/>
  <c r="H128" i="1" s="1"/>
  <c r="I128" i="1"/>
  <c r="I117" i="1"/>
  <c r="H117" i="1"/>
  <c r="I113" i="1"/>
  <c r="I108" i="1"/>
  <c r="I106" i="1"/>
  <c r="I103" i="1"/>
  <c r="I102" i="1"/>
  <c r="I92" i="1"/>
  <c r="I91" i="1"/>
  <c r="I115" i="1" s="1"/>
  <c r="I89" i="1"/>
  <c r="I70" i="1"/>
  <c r="H70" i="1"/>
  <c r="H89" i="1" s="1"/>
  <c r="I15" i="1"/>
  <c r="H15" i="1"/>
  <c r="H59" i="1" s="1"/>
  <c r="I11" i="1"/>
  <c r="I59" i="1" s="1"/>
  <c r="H142" i="1" l="1"/>
  <c r="I153" i="1"/>
  <c r="I158" i="1" s="1"/>
  <c r="H153" i="1"/>
  <c r="F148" i="7"/>
  <c r="F85" i="7"/>
  <c r="H157" i="1" l="1"/>
  <c r="H159" i="1" s="1"/>
  <c r="G156" i="7"/>
  <c r="M161" i="10" l="1"/>
  <c r="M162" i="10"/>
  <c r="M163" i="10"/>
  <c r="M164" i="10"/>
  <c r="F87" i="7"/>
  <c r="F55" i="7"/>
  <c r="F11" i="7"/>
  <c r="H166" i="10" l="1"/>
  <c r="H165" i="10" s="1"/>
  <c r="I160" i="10"/>
  <c r="H160" i="10"/>
  <c r="I159" i="10"/>
  <c r="H159" i="10"/>
  <c r="I147" i="10"/>
  <c r="H147" i="10"/>
  <c r="I146" i="10"/>
  <c r="H146" i="10"/>
  <c r="I145" i="10"/>
  <c r="M145" i="10" s="1"/>
  <c r="I144" i="10"/>
  <c r="M144" i="10" s="1"/>
  <c r="I142" i="10"/>
  <c r="M142" i="10" s="1"/>
  <c r="H142" i="10"/>
  <c r="I141" i="10"/>
  <c r="M141" i="10" s="1"/>
  <c r="I140" i="10"/>
  <c r="H140" i="10"/>
  <c r="I139" i="10"/>
  <c r="H139" i="10"/>
  <c r="I138" i="10"/>
  <c r="M138" i="10" s="1"/>
  <c r="I137" i="10"/>
  <c r="H137" i="10"/>
  <c r="H136" i="10"/>
  <c r="H135" i="10"/>
  <c r="I134" i="10"/>
  <c r="M134" i="10" s="1"/>
  <c r="I133" i="10"/>
  <c r="H133" i="10"/>
  <c r="I132" i="10"/>
  <c r="H132" i="10"/>
  <c r="I131" i="10"/>
  <c r="H131" i="10"/>
  <c r="I130" i="10"/>
  <c r="H130" i="10"/>
  <c r="I129" i="10"/>
  <c r="H129" i="10"/>
  <c r="I128" i="10"/>
  <c r="H128" i="10"/>
  <c r="I127" i="10"/>
  <c r="H127" i="10"/>
  <c r="I126" i="10"/>
  <c r="H126" i="10"/>
  <c r="I125" i="10"/>
  <c r="H125" i="10"/>
  <c r="H124" i="10"/>
  <c r="I118" i="10"/>
  <c r="I116" i="10"/>
  <c r="I115" i="10"/>
  <c r="I114" i="10"/>
  <c r="I113" i="10"/>
  <c r="I111" i="10"/>
  <c r="I109" i="10"/>
  <c r="I108" i="10"/>
  <c r="I105" i="10"/>
  <c r="I104" i="10"/>
  <c r="I103" i="10"/>
  <c r="I102" i="10"/>
  <c r="I101" i="10"/>
  <c r="I100" i="10"/>
  <c r="I99" i="10"/>
  <c r="I98" i="10"/>
  <c r="I97" i="10"/>
  <c r="H94" i="10"/>
  <c r="M92" i="10"/>
  <c r="M91" i="10"/>
  <c r="M90" i="10"/>
  <c r="I89" i="10"/>
  <c r="H89" i="10"/>
  <c r="I88" i="10"/>
  <c r="H88" i="10"/>
  <c r="I87" i="10"/>
  <c r="H87" i="10"/>
  <c r="I86" i="10"/>
  <c r="H86" i="10"/>
  <c r="I85" i="10"/>
  <c r="H85" i="10"/>
  <c r="I84" i="10"/>
  <c r="H84" i="10"/>
  <c r="I83" i="10"/>
  <c r="H83" i="10"/>
  <c r="I82" i="10"/>
  <c r="H82" i="10"/>
  <c r="I81" i="10"/>
  <c r="H81" i="10"/>
  <c r="I80" i="10"/>
  <c r="H80" i="10"/>
  <c r="I79" i="10"/>
  <c r="H79" i="10"/>
  <c r="I78" i="10"/>
  <c r="H78" i="10"/>
  <c r="I77" i="10"/>
  <c r="H77" i="10"/>
  <c r="I76" i="10"/>
  <c r="H76" i="10"/>
  <c r="I75" i="10"/>
  <c r="M75" i="10" s="1"/>
  <c r="I74" i="10"/>
  <c r="H74" i="10"/>
  <c r="I73" i="10"/>
  <c r="H73" i="10"/>
  <c r="I72" i="10"/>
  <c r="H72" i="10"/>
  <c r="I70" i="10"/>
  <c r="M70" i="10" s="1"/>
  <c r="I69" i="10"/>
  <c r="H69" i="10"/>
  <c r="I68" i="10"/>
  <c r="H68" i="10"/>
  <c r="I67" i="10"/>
  <c r="H67" i="10"/>
  <c r="I66" i="10"/>
  <c r="H66" i="10"/>
  <c r="I65" i="10"/>
  <c r="H65" i="10"/>
  <c r="I64" i="10"/>
  <c r="H64" i="10"/>
  <c r="I63" i="10"/>
  <c r="H63" i="10"/>
  <c r="I62" i="10"/>
  <c r="H62" i="10"/>
  <c r="I55" i="10"/>
  <c r="M55" i="10" s="1"/>
  <c r="I54" i="10"/>
  <c r="H54" i="10"/>
  <c r="I53" i="10"/>
  <c r="H53" i="10"/>
  <c r="I52" i="10"/>
  <c r="H52" i="10"/>
  <c r="I51" i="10"/>
  <c r="H51" i="10"/>
  <c r="I50" i="10"/>
  <c r="H50" i="10"/>
  <c r="I49" i="10"/>
  <c r="H49" i="10"/>
  <c r="I48" i="10"/>
  <c r="H48" i="10"/>
  <c r="I47" i="10"/>
  <c r="M47" i="10" s="1"/>
  <c r="I46" i="10"/>
  <c r="H46" i="10"/>
  <c r="I45" i="10"/>
  <c r="H45" i="10"/>
  <c r="I44" i="10"/>
  <c r="H44" i="10"/>
  <c r="I43" i="10"/>
  <c r="H43" i="10"/>
  <c r="I42" i="10"/>
  <c r="H42" i="10"/>
  <c r="I41" i="10"/>
  <c r="H41" i="10"/>
  <c r="I40" i="10"/>
  <c r="M40" i="10" s="1"/>
  <c r="I39" i="10"/>
  <c r="M39" i="10" s="1"/>
  <c r="I38" i="10"/>
  <c r="M38" i="10" s="1"/>
  <c r="I37" i="10"/>
  <c r="H37" i="10"/>
  <c r="I36" i="10"/>
  <c r="H36" i="10"/>
  <c r="I35" i="10"/>
  <c r="H35" i="10"/>
  <c r="I34" i="10"/>
  <c r="H34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M26" i="10" s="1"/>
  <c r="I25" i="10"/>
  <c r="H25" i="10"/>
  <c r="I24" i="10"/>
  <c r="H24" i="10"/>
  <c r="I23" i="10"/>
  <c r="H23" i="10"/>
  <c r="I22" i="10"/>
  <c r="M22" i="10" s="1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I13" i="10"/>
  <c r="H13" i="10"/>
  <c r="I11" i="10"/>
  <c r="H11" i="10"/>
  <c r="I10" i="10"/>
  <c r="H10" i="10"/>
  <c r="H8" i="10" s="1"/>
  <c r="I9" i="10"/>
  <c r="I7" i="10"/>
  <c r="H7" i="10"/>
  <c r="I6" i="10"/>
  <c r="H6" i="10"/>
  <c r="F91" i="7"/>
  <c r="F12" i="7"/>
  <c r="F150" i="7"/>
  <c r="F138" i="7"/>
  <c r="F137" i="7"/>
  <c r="F136" i="7"/>
  <c r="F117" i="7"/>
  <c r="F116" i="7"/>
  <c r="M88" i="10" l="1"/>
  <c r="M160" i="10"/>
  <c r="M53" i="10"/>
  <c r="H71" i="10"/>
  <c r="H61" i="10" s="1"/>
  <c r="I158" i="10"/>
  <c r="M13" i="10"/>
  <c r="M30" i="10"/>
  <c r="M34" i="10"/>
  <c r="M24" i="10"/>
  <c r="M15" i="10"/>
  <c r="M14" i="10"/>
  <c r="M18" i="10"/>
  <c r="M168" i="10"/>
  <c r="I8" i="10"/>
  <c r="M8" i="10" s="1"/>
  <c r="M25" i="10"/>
  <c r="M9" i="10"/>
  <c r="M63" i="10"/>
  <c r="M65" i="10"/>
  <c r="M67" i="10"/>
  <c r="M69" i="10"/>
  <c r="M77" i="10"/>
  <c r="M79" i="10"/>
  <c r="M81" i="10"/>
  <c r="M85" i="10"/>
  <c r="M10" i="10"/>
  <c r="M36" i="10"/>
  <c r="M43" i="10"/>
  <c r="M49" i="10"/>
  <c r="M51" i="10"/>
  <c r="M68" i="10"/>
  <c r="M73" i="10"/>
  <c r="M82" i="10"/>
  <c r="M132" i="10"/>
  <c r="M11" i="10"/>
  <c r="M35" i="10"/>
  <c r="M48" i="10"/>
  <c r="M52" i="10"/>
  <c r="M74" i="10"/>
  <c r="M146" i="10"/>
  <c r="M20" i="10"/>
  <c r="M66" i="10"/>
  <c r="M89" i="10"/>
  <c r="M125" i="10"/>
  <c r="M129" i="10"/>
  <c r="M140" i="10"/>
  <c r="M23" i="10"/>
  <c r="M27" i="10"/>
  <c r="M29" i="10"/>
  <c r="M31" i="10"/>
  <c r="M33" i="10"/>
  <c r="M42" i="10"/>
  <c r="M44" i="10"/>
  <c r="M46" i="10"/>
  <c r="M50" i="10"/>
  <c r="M54" i="10"/>
  <c r="M72" i="10"/>
  <c r="M76" i="10"/>
  <c r="M80" i="10"/>
  <c r="M84" i="10"/>
  <c r="M86" i="10"/>
  <c r="M16" i="10"/>
  <c r="M87" i="10"/>
  <c r="M127" i="10"/>
  <c r="M131" i="10"/>
  <c r="M133" i="10"/>
  <c r="M17" i="10"/>
  <c r="M19" i="10"/>
  <c r="M21" i="10"/>
  <c r="M32" i="10"/>
  <c r="M37" i="10"/>
  <c r="M41" i="10"/>
  <c r="M126" i="10"/>
  <c r="M130" i="10"/>
  <c r="M137" i="10"/>
  <c r="M139" i="10"/>
  <c r="M147" i="10"/>
  <c r="I12" i="10"/>
  <c r="M159" i="10"/>
  <c r="M6" i="10"/>
  <c r="M7" i="10"/>
  <c r="M28" i="10"/>
  <c r="M45" i="10"/>
  <c r="M64" i="10"/>
  <c r="M78" i="10"/>
  <c r="M83" i="10"/>
  <c r="M128" i="10"/>
  <c r="M62" i="10"/>
  <c r="I71" i="10"/>
  <c r="H123" i="10"/>
  <c r="H12" i="10"/>
  <c r="H5" i="10" s="1"/>
  <c r="H158" i="10"/>
  <c r="H172" i="10" l="1"/>
  <c r="M158" i="10"/>
  <c r="I5" i="10"/>
  <c r="M5" i="10" s="1"/>
  <c r="M12" i="10"/>
  <c r="M71" i="10"/>
  <c r="I61" i="10"/>
  <c r="M61" i="10" s="1"/>
  <c r="M147" i="1" l="1"/>
  <c r="L147" i="1"/>
  <c r="E147" i="1"/>
  <c r="Q145" i="1"/>
  <c r="E149" i="1"/>
  <c r="M149" i="1"/>
  <c r="I166" i="10" s="1"/>
  <c r="I165" i="10" l="1"/>
  <c r="M166" i="10"/>
  <c r="M129" i="1"/>
  <c r="M117" i="1"/>
  <c r="M165" i="10" l="1"/>
  <c r="I124" i="10"/>
  <c r="M152" i="1"/>
  <c r="Q133" i="1"/>
  <c r="Q141" i="1"/>
  <c r="Q86" i="1"/>
  <c r="Q85" i="1"/>
  <c r="Q80" i="1"/>
  <c r="Q81" i="1"/>
  <c r="Q82" i="1"/>
  <c r="Q83" i="1"/>
  <c r="Q79" i="1"/>
  <c r="Q52" i="1"/>
  <c r="Q53" i="1"/>
  <c r="Q54" i="1"/>
  <c r="Q55" i="1"/>
  <c r="Q51" i="1"/>
  <c r="Q10" i="1"/>
  <c r="Q12" i="1"/>
  <c r="Q13" i="1"/>
  <c r="Q14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6" i="1"/>
  <c r="Q57" i="1"/>
  <c r="Q58" i="1"/>
  <c r="Q61" i="1"/>
  <c r="Q62" i="1"/>
  <c r="Q63" i="1"/>
  <c r="Q64" i="1"/>
  <c r="Q65" i="1"/>
  <c r="Q66" i="1"/>
  <c r="Q67" i="1"/>
  <c r="Q68" i="1"/>
  <c r="Q69" i="1"/>
  <c r="Q71" i="1"/>
  <c r="Q72" i="1"/>
  <c r="Q73" i="1"/>
  <c r="Q74" i="1"/>
  <c r="Q75" i="1"/>
  <c r="Q76" i="1"/>
  <c r="Q77" i="1"/>
  <c r="Q78" i="1"/>
  <c r="Q84" i="1"/>
  <c r="Q87" i="1"/>
  <c r="Q88" i="1"/>
  <c r="Q90" i="1"/>
  <c r="Q93" i="1"/>
  <c r="Q94" i="1"/>
  <c r="Q95" i="1"/>
  <c r="Q96" i="1"/>
  <c r="Q97" i="1"/>
  <c r="Q98" i="1"/>
  <c r="Q99" i="1"/>
  <c r="Q100" i="1"/>
  <c r="Q107" i="1"/>
  <c r="Q109" i="1"/>
  <c r="Q110" i="1"/>
  <c r="Q111" i="1"/>
  <c r="Q112" i="1"/>
  <c r="Q114" i="1"/>
  <c r="Q116" i="1"/>
  <c r="Q118" i="1"/>
  <c r="Q119" i="1"/>
  <c r="Q120" i="1"/>
  <c r="Q121" i="1"/>
  <c r="Q122" i="1"/>
  <c r="Q123" i="1"/>
  <c r="Q124" i="1"/>
  <c r="Q125" i="1"/>
  <c r="Q126" i="1"/>
  <c r="Q127" i="1"/>
  <c r="Q130" i="1"/>
  <c r="Q131" i="1"/>
  <c r="Q132" i="1"/>
  <c r="Q134" i="1"/>
  <c r="Q135" i="1"/>
  <c r="Q137" i="1"/>
  <c r="Q138" i="1"/>
  <c r="Q140" i="1"/>
  <c r="Q144" i="1"/>
  <c r="Q146" i="1"/>
  <c r="Q150" i="1"/>
  <c r="Q151" i="1"/>
  <c r="Q9" i="1"/>
  <c r="L136" i="1"/>
  <c r="I143" i="10" s="1"/>
  <c r="M143" i="10" s="1"/>
  <c r="D147" i="1"/>
  <c r="L152" i="1"/>
  <c r="D152" i="1"/>
  <c r="E152" i="1"/>
  <c r="D136" i="1"/>
  <c r="M128" i="1"/>
  <c r="L129" i="1"/>
  <c r="I136" i="10" s="1"/>
  <c r="L117" i="1"/>
  <c r="D117" i="1"/>
  <c r="D129" i="1"/>
  <c r="D128" i="1"/>
  <c r="M92" i="1"/>
  <c r="I96" i="10" s="1"/>
  <c r="E92" i="1"/>
  <c r="D89" i="1"/>
  <c r="M70" i="1"/>
  <c r="L70" i="1"/>
  <c r="L89" i="1" s="1"/>
  <c r="E70" i="1"/>
  <c r="D70" i="1"/>
  <c r="E15" i="1"/>
  <c r="M15" i="1"/>
  <c r="L15" i="1"/>
  <c r="L59" i="1" s="1"/>
  <c r="D15" i="1"/>
  <c r="D59" i="1" s="1"/>
  <c r="M124" i="10" l="1"/>
  <c r="M136" i="10"/>
  <c r="I135" i="10"/>
  <c r="M135" i="10" s="1"/>
  <c r="T148" i="1"/>
  <c r="D142" i="1"/>
  <c r="D153" i="1" s="1"/>
  <c r="R89" i="1"/>
  <c r="Q59" i="1"/>
  <c r="Q117" i="1"/>
  <c r="Q152" i="1"/>
  <c r="Q70" i="1"/>
  <c r="M89" i="1"/>
  <c r="Q15" i="1"/>
  <c r="L128" i="1"/>
  <c r="L142" i="1" s="1"/>
  <c r="Q149" i="1"/>
  <c r="Q92" i="1"/>
  <c r="I123" i="10" l="1"/>
  <c r="L153" i="1"/>
  <c r="R153" i="1" s="1"/>
  <c r="E11" i="1"/>
  <c r="E59" i="1" s="1"/>
  <c r="T59" i="1" s="1"/>
  <c r="M123" i="10" l="1"/>
  <c r="E129" i="1" l="1"/>
  <c r="E128" i="1" l="1"/>
  <c r="Q129" i="1"/>
  <c r="Q136" i="1"/>
  <c r="M113" i="1"/>
  <c r="I117" i="10" s="1"/>
  <c r="M108" i="1"/>
  <c r="I112" i="10" s="1"/>
  <c r="M103" i="1"/>
  <c r="I107" i="10" s="1"/>
  <c r="E142" i="1" l="1"/>
  <c r="Q147" i="1"/>
  <c r="Q128" i="1"/>
  <c r="M106" i="1"/>
  <c r="I110" i="10" s="1"/>
  <c r="M91" i="1"/>
  <c r="I95" i="10" s="1"/>
  <c r="M102" i="1"/>
  <c r="I106" i="10" s="1"/>
  <c r="E113" i="1"/>
  <c r="Q113" i="1" s="1"/>
  <c r="E108" i="1"/>
  <c r="E106" i="1" s="1"/>
  <c r="E103" i="1"/>
  <c r="E102" i="1" s="1"/>
  <c r="E91" i="1"/>
  <c r="E89" i="1"/>
  <c r="M11" i="1"/>
  <c r="Q11" i="1" s="1"/>
  <c r="E115" i="1" l="1"/>
  <c r="E153" i="1" s="1"/>
  <c r="Q108" i="1"/>
  <c r="I94" i="10"/>
  <c r="I172" i="10" s="1"/>
  <c r="Q89" i="1"/>
  <c r="T89" i="1"/>
  <c r="Q142" i="1"/>
  <c r="T142" i="1"/>
  <c r="Q106" i="1"/>
  <c r="Q91" i="1"/>
  <c r="M59" i="1"/>
  <c r="M115" i="1"/>
  <c r="Q115" i="1" l="1"/>
  <c r="R59" i="1"/>
  <c r="E158" i="1"/>
  <c r="D157" i="1" s="1"/>
  <c r="M153" i="1"/>
  <c r="Q153" i="1" l="1"/>
  <c r="D159" i="1"/>
</calcChain>
</file>

<file path=xl/sharedStrings.xml><?xml version="1.0" encoding="utf-8"?>
<sst xmlns="http://schemas.openxmlformats.org/spreadsheetml/2006/main" count="1462" uniqueCount="598">
  <si>
    <t>№ п/п</t>
  </si>
  <si>
    <t>Наименование раздела, мероприятия</t>
  </si>
  <si>
    <t>Распорядитель средств</t>
  </si>
  <si>
    <t>Освоение, тыс. руб.</t>
  </si>
  <si>
    <t>В рамках каких соглашений поступают средства из ФБ, МБ и ИИ</t>
  </si>
  <si>
    <t>ФБ</t>
  </si>
  <si>
    <t>ОБ</t>
  </si>
  <si>
    <t>МБ</t>
  </si>
  <si>
    <t>ИИ</t>
  </si>
  <si>
    <t>«Развитие мер социальной поддержки отдельных категорий граждан»</t>
  </si>
  <si>
    <t>Итого по подпрограмме</t>
  </si>
  <si>
    <t>Итого по программе</t>
  </si>
  <si>
    <t>Проведение социально значимых мероприятий</t>
  </si>
  <si>
    <t>Обеспечение исполнения полномочий по предоставлению ежемесячной денежной компенсации на оплату жилищно-коммунальных услуг отдельным категориям граждан</t>
  </si>
  <si>
    <t>Внедрение современных технологий в деятельность учреждений системы социальной защиты и обслуживания населения</t>
  </si>
  <si>
    <t>"Семья и дети"</t>
  </si>
  <si>
    <t>"Доступная среда"</t>
  </si>
  <si>
    <t>Иные мероприятия</t>
  </si>
  <si>
    <t>"Содействие занятости населения, улучшение условий и охраны труда"</t>
  </si>
  <si>
    <t>Реализация прав граждан на труд и социальная защита от безработицы, а также создание благоприятных условий для обеспечения занятости населения</t>
  </si>
  <si>
    <t>«Оказание содействия добровольному переселению в Ульяновскую область соотечественников, проживающих за рубежом»</t>
  </si>
  <si>
    <t>Наименование</t>
  </si>
  <si>
    <t>Исполнитель мероприятия (ИОГВ, ФИО, должность, тел.)</t>
  </si>
  <si>
    <t>Плановый срок реализации мероприятия</t>
  </si>
  <si>
    <t>Фактический срок реализации мероприятия</t>
  </si>
  <si>
    <t>Результат реализации мероприятий ГП (краткое описание, % выполнения работы)/значения целевых индикаторов</t>
  </si>
  <si>
    <t xml:space="preserve">Начало </t>
  </si>
  <si>
    <t xml:space="preserve">Окончание </t>
  </si>
  <si>
    <t xml:space="preserve">Плановое </t>
  </si>
  <si>
    <t>Фактическое</t>
  </si>
  <si>
    <t>запланированные</t>
  </si>
  <si>
    <t>достигнутые</t>
  </si>
  <si>
    <t>1.1.</t>
  </si>
  <si>
    <t>1.2.</t>
  </si>
  <si>
    <t>1.3.</t>
  </si>
  <si>
    <t>1.4.</t>
  </si>
  <si>
    <t>1.5.</t>
  </si>
  <si>
    <t>Предоставление мер социальной поддержки различным категориям граждан</t>
  </si>
  <si>
    <t>Предоставление мер социальной поддержки семьям, имеющим детей</t>
  </si>
  <si>
    <t>Доступная среда</t>
  </si>
  <si>
    <t>4</t>
  </si>
  <si>
    <t>5</t>
  </si>
  <si>
    <t>5.1.</t>
  </si>
  <si>
    <t>Предоставление субсидий на оплату жилого помещения и коммунальных услуг</t>
  </si>
  <si>
    <t>Предоставление компенсаций по оплате жилого помещения и коммунальных услуг</t>
  </si>
  <si>
    <t>Оказание государственной социальной помощи и адресной материальной помощи гражданам</t>
  </si>
  <si>
    <t>Предоставление государственной социальной помощи, в том числе на основании социального контракта</t>
  </si>
  <si>
    <t>Предоставление мер социальной поддержки ветеранам труда</t>
  </si>
  <si>
    <t>Предоставление мер социальной поддержки труженикам тыла</t>
  </si>
  <si>
    <t>Предоставление мер социальной поддержки реабилитированным лицам и лицам, пострадавшим от политических репрессий</t>
  </si>
  <si>
    <t>Обеспечение ежемесячных выплат почётным гражданам Ульяновской области</t>
  </si>
  <si>
    <t>Обеспечение доплаты к пенсиям государственным служащим, получающим пенсию в соответствии с законодательством</t>
  </si>
  <si>
    <t>Предоставление услуг по погребению отдельных категорий граждан</t>
  </si>
  <si>
    <t>Предоставление дополнительных мер социальной поддержки супругам, детям и родителям лиц, замещавших государственные должности Ульяновской области, должности государственной гражданской службы Ульяновской области или должности в государственных органах Ульяновской области, не являющиеся должностями государственной гражданской службы Ульяновской области, и погибших при исполнении должностных (трудовых) обязанностей или умерших вследствие ранения, контузии, заболевания или увечья, полученных при исполнении должностных (трудовых) обязанностей</t>
  </si>
  <si>
    <t>Предоставление мер социальной поддержки педагогическим работникам образовательных учреждений, работающим и проживающим в сельской местности, рабочих посёлках (посёлках городского типа)</t>
  </si>
  <si>
    <t>Предоставление компенсационных выплат за проезд на садово-дачные массивы для социально не защищённых категорий лиц</t>
  </si>
  <si>
    <t>Выплата единовременной материальной помощи военнослужащим, сотрудникам правоохранительных органов и членам их семей</t>
  </si>
  <si>
    <t>Оказание мер социальной поддержки инвалидам боевых действий, проживающим на территории Ульяновской области</t>
  </si>
  <si>
    <t>Реализация мер социальной поддержки граждан, добровольно участвующих в охране общественного порядка на территории Ульяновской области</t>
  </si>
  <si>
    <t>Выплата пособий лицам, страдающим психическими расстройствами, находящимся в трудной жизненной ситуации</t>
  </si>
  <si>
    <t>Единовременные выплаты за вред, причинённый при оказании противотуберкулёзной помощи</t>
  </si>
  <si>
    <t>Обеспечение равной доступности услуг общественного транспорта для отдельных категорий граждан</t>
  </si>
  <si>
    <t>Предоставление мер поддержки творческим работникам</t>
  </si>
  <si>
    <t>Предоставление мер социальной поддержки инвалидам и участникам Великой Отечественной войны</t>
  </si>
  <si>
    <t>Предоставление мер государственной поддержки гражданам в связи с введением экономически обоснованных тарифов и нормативов потребления коммунальных услуг</t>
  </si>
  <si>
    <t>Предоставление мер социальной поддержки жёнам граждан, уволенных с военной службы</t>
  </si>
  <si>
    <t>Предоставление государственным гражданским служащим единовременной социальной выплаты на приобретение жилья</t>
  </si>
  <si>
    <t>Предоставление мер социальной поддержки гражданам, родившимся в период с 01 января 1932 года по 31 декабря 1945 года</t>
  </si>
  <si>
    <t>Выплата премий Губернатора Ульяновской области инвалидам</t>
  </si>
  <si>
    <t>Предоставление мер социальной поддержки работникам противопожарной службы Ульяновской области, профессиональных аварийно-спасательных служб и профессиональных аварийно-спасательных формирований Ульяновской области и лицам из их числа</t>
  </si>
  <si>
    <t>Предоставление мер социальной поддержки сельским старостам</t>
  </si>
  <si>
    <t>Предоставление мер социальной государственной поддержки добровольным пожарным</t>
  </si>
  <si>
    <t>Компенсационные выплаты гражданам при возникновении поствакцинальных осложнений</t>
  </si>
  <si>
    <t>Предоставление мер социальной поддержки на оплату жилищно-коммунальных услуг отдельным категориям граждан</t>
  </si>
  <si>
    <t>Выплаты инвалидам  страховых премий по договору обязательного страхования владельцев транспортных средств</t>
  </si>
  <si>
    <t>Предоставление услуг социального обслуживания инвалидам, гражданам пожилого возраста и прочим категориям граждан (содержание учреждений социального обслуживания инвалидов, граждан пожилого возраста и иных категорий граждан)</t>
  </si>
  <si>
    <t>Предоставление дополнительных мер социальной поддержки многодетным семьям</t>
  </si>
  <si>
    <t>Выплата единовременных пособий гражданам, усыновившим (удочерившим) детей-сирот и детей, оставшихся без попечения родителей, на территории Ульяновской области</t>
  </si>
  <si>
    <t>Проведение ремонта жилых помещений, принадлежащих детям-сиротам и детям, оставшимся без попечения родителей, а также лицам из числа детей-сирот и детей, оставшихся без попечения родителей, на праве собственности</t>
  </si>
  <si>
    <t>Предоставление выплаты на содержание ребёнка в семье опекуна и приёмной семье, а также вознаграждение, причитающееся приёмному родителю</t>
  </si>
  <si>
    <t>Деятельность по опеке и попечительству в отношении несовершеннолетних</t>
  </si>
  <si>
    <t>Выплата ежемесячного пособия на ребёнка гражданам, имеющим детей</t>
  </si>
  <si>
    <t>Реализация мер социальной поддержки детей военнослужащих, сотрудников органов внутренних дел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</t>
  </si>
  <si>
    <t>Дополнительная социальная поддержка семей, имеющих детей</t>
  </si>
  <si>
    <t>Выплата ежегодных премий Губернатора Ульяновской области «Семья года»</t>
  </si>
  <si>
    <t>Предоставление мер социальной поддержки по улучшению демографической ситуации в Ульяновской области</t>
  </si>
  <si>
    <t>Предоставление мер социальной поддержки по обеспечению полноценным питанием беременных женщин и кормящих матерей (в части ежемесячной денежной выплаты)</t>
  </si>
  <si>
    <t>Единовременное пособие беременной жене военнослужащего, проходящего военную службу по призыву, а также ежемесячное пособие на ребёнка военнослужащего, проходящего военную службу по призыву</t>
  </si>
  <si>
    <t>Выплата пособий по уходу за ребёнком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</si>
  <si>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</si>
  <si>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 xml:space="preserve">Выплата пособий женщинам, вставшим на учёт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 </t>
  </si>
  <si>
    <t>Выплата пособий при рождении ребёнка гражданам, не подлежащим обязательному  социальному страхованию на случай временной нетрудоспособности и в связи с материнством</t>
  </si>
  <si>
    <t xml:space="preserve">Выплата единовременного пособия при всех формах устройства детей, лишённых родительского попечения, в семью </t>
  </si>
  <si>
    <t>Реализация мероприятий по перевозке несовершеннолетних, самостоятельно ушедших из семей, детских домов, школ-интернатов, специальных учебно-воспитательных учреждений</t>
  </si>
  <si>
    <t>Предоставление социальных услуг несовершеннолетним, оказавшимся в трудной жизненной ситуации (содержание и обеспечение деятельности детских домов, детских домов-интернатов и социально-реабилитационных центров для несовершеннолетних)</t>
  </si>
  <si>
    <t>1.3.1.</t>
  </si>
  <si>
    <t>1.3.2.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</si>
  <si>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</si>
  <si>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</si>
  <si>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</si>
  <si>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</si>
  <si>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</si>
  <si>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</si>
  <si>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</si>
  <si>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</si>
  <si>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</si>
  <si>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</si>
  <si>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</si>
  <si>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</si>
  <si>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1.5.13.</t>
  </si>
  <si>
    <t>1.5.14.</t>
  </si>
  <si>
    <t>1.5.15.</t>
  </si>
  <si>
    <t>1.5.16.</t>
  </si>
  <si>
    <t>1.5.17.</t>
  </si>
  <si>
    <t>1.5.18.</t>
  </si>
  <si>
    <t>1.5.19.</t>
  </si>
  <si>
    <t>1.5.20.</t>
  </si>
  <si>
    <t>1.5.21.</t>
  </si>
  <si>
    <t>1.5.22.</t>
  </si>
  <si>
    <t>1.5.23.</t>
  </si>
  <si>
    <t>1.5.24.</t>
  </si>
  <si>
    <t>1.5.25.</t>
  </si>
  <si>
    <t>1.5.26.</t>
  </si>
  <si>
    <t>1.5.27.</t>
  </si>
  <si>
    <t>1.5.28.</t>
  </si>
  <si>
    <t>1.5.29.</t>
  </si>
  <si>
    <t>1.5.30.</t>
  </si>
  <si>
    <t>Повышение уровня доступности приоритетных объектов социальной защиты и услуг</t>
  </si>
  <si>
    <t>Приспособление входной группы, оборудование путей движения внутри здания, оборудование пандусами, поручнями, тактильными полосами, лифтом, подъёмным устройством, приспособление прилегающей территории, автостоянки для инвалидов, адаптация санитарных узлов, установка системы информации и сигнализации об опасности (визуальной, звуковой, тактильной) в областных государственных учреждениях социального обслуживания:</t>
  </si>
  <si>
    <t>Областное государственное автономное учреждение социального обслуживания «Психоневрологический интернат в пос. Лесной»</t>
  </si>
  <si>
    <t>Областное государственное автономное учреждение социального обслуживания «Геронтологический центр в г. Ульяновске»</t>
  </si>
  <si>
    <t>Областное государственное автономное учреждение социального обслуживания «Психоневрологический интернат в пос. Дальнее Поле»</t>
  </si>
  <si>
    <t>Областное государственное казённое учреждение социального обслуживания «Социально-оздоровительный центр для граждан пожилого возраста и инвалидов в г. Новоульяновске»</t>
  </si>
  <si>
    <t>Областное государственное автономное учреждение социального обслуживания «Психоневрологический интернат в с. Акшуат»</t>
  </si>
  <si>
    <t>Областное государственное автономное учреждение социального обслуживания «Специальный дом-интернат для престарелых и инвалидов в с. Акшуат»</t>
  </si>
  <si>
    <t>Областное государственное автономное учреждение социального обслуживания «Дом-интернат для престарелых и инвалидов в г. Новоульяновске»</t>
  </si>
  <si>
    <t>Областное государственное автономное учреждение социального обслуживания «Специальный дом-интернат для престарелых и инвалидов в с. Репьёвка Колхозная»</t>
  </si>
  <si>
    <t>Повышение доступности и качества реабилитационных услуг для инвалидов, в том числе для детей-инвалидов, содействие в их социальной интеграции</t>
  </si>
  <si>
    <t>Оснащение реабилитационным оборудованием областных государственных учреждений социального обслуживания</t>
  </si>
  <si>
    <t>Областное государственное казённое учреждение социального обслуживания «Реабилитационный центр для детей и подростков с ограниченными возможностями «Подсолнух» в г. Ульяновске»</t>
  </si>
  <si>
    <t>Реализация комплекса информационных, просветительских и общественных мероприятий</t>
  </si>
  <si>
    <t>Организация курса лекций по применению жестового языка для родителей детей-инвалидов с нарушением слуха, специалистов органов социальной защиты, здравоохранения</t>
  </si>
  <si>
    <t>Информационные и просветительские мероприятия, направленные на преодоление социальной разобщённости в обществе и формирование позитивного отношения в обществе к проблеме обеспечения доступной среды жизнедеятельности для инвалидов и других маломобильных групп населения (далее – МГН) в Ульяновской области</t>
  </si>
  <si>
    <t>Проведение информационно-просветительской кампании по формированию у населения позитивного образа инвалидов и других МГН, подготовка и публикация учебных, информационных, справочных, методических пособий, руководств по формированию доступной среды для инвалидов и других МГН</t>
  </si>
  <si>
    <t>Проведение месячника «Белая трость», Международного дня глухих, Дня больных рассеянным склерозом, Дня больных сахарным диабетом</t>
  </si>
  <si>
    <t xml:space="preserve">Участие сборных команд Ульяновской области в межрегиональных и всероссийских соревнованиях среди инвалидов </t>
  </si>
  <si>
    <t>Проведение летней и зимней спартакиады для инвалидов и граждан пожилого возраста</t>
  </si>
  <si>
    <t>Приобретение микроавтобуса для перевозки инвалидов и других МГН</t>
  </si>
  <si>
    <t>Предоставление адресной материальной помощи гражданам, оказавшимся в трудной жизненной ситуации; адресной материальной помощи неработающим пенсионерам, являющимся получателями страховых пенсий по старости и по инвалидности; адресной материальной помощи гражданам, которым предоставляется лечение методом программного системного гемодиализа</t>
  </si>
  <si>
    <t>Приобретение протезно-ортопедических изделий лицам, не имеющим инвалидности, но по медицинским показаниям нуждающимся в них</t>
  </si>
  <si>
    <t>Предоставление мер социальной поддержки ветеранам труда Ульяновской области</t>
  </si>
  <si>
    <t>Реализация мер социальной поддержки родителей военнослужащих, сотрудников органов внутренних дел, Федеральной службы безопасности Российской Федерации, прокуратуры Российской Федерации, органов уголовно-исполнительной системы Министерства юстиции Российской Федерации, погибших при исполнении обязанностей военной службы, служебных обязанностей или умерших вследствие ранения, контузии, заболеваний, увечья, полученных при исполнении обязанностей военной службы, служебных обязанностей</t>
  </si>
  <si>
    <t>Материальное обеспечение вдов Сычева В.А .и Доронина Н.П.</t>
  </si>
  <si>
    <t>1.5.31.</t>
  </si>
  <si>
    <t>Предоставление мер государственной социальной поддержки отдельных категорий специалистов социального обслуживания населения и детских домов, работающих и проживающих в сельской местности на территории Ульяновской области»</t>
  </si>
  <si>
    <t>1.5.32.</t>
  </si>
  <si>
    <t>Предоставление мер социальной поддержки отдельных категорий молодых специалистов учреждений социального обслуживания населения и детских домов</t>
  </si>
  <si>
    <t>1.5.33.</t>
  </si>
  <si>
    <t>1.5.34.</t>
  </si>
  <si>
    <t>Предоставление единовременного пособия в целях возмещения вреда, причиненного в связи с исполнением работниками противопожарной службы Ульяновской области трудовых обязанностей</t>
  </si>
  <si>
    <t>1.5.35.</t>
  </si>
  <si>
    <t>Предоставление мер социальной поддержки на обеспечение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</si>
  <si>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1.5.36.</t>
  </si>
  <si>
    <t>Предоставление мер социальной поддержки  лицам награжденным знаком «Почетный донор СССР» и «Почетный донор России»</t>
  </si>
  <si>
    <t>1.5.37.</t>
  </si>
  <si>
    <t>1.5.38.</t>
  </si>
  <si>
    <t>1.5.39.</t>
  </si>
  <si>
    <t>1.6.</t>
  </si>
  <si>
    <t>1.7.</t>
  </si>
  <si>
    <t>Мероприятия по организации выплат мер социальной поддержки населению (содержание областных государственных учреждений социальной защиты населения по обеспечению хозяйственного обслуживания)</t>
  </si>
  <si>
    <t>2.1.</t>
  </si>
  <si>
    <t>2.2.</t>
  </si>
  <si>
    <t>2.3.</t>
  </si>
  <si>
    <t>Предоставление ежемесячной выплаты лицам из числа детей-сирот и детей, оставшихся без попечения родителей, обучающимся в муниципальных учреждениях образования</t>
  </si>
  <si>
    <t>2.4.</t>
  </si>
  <si>
    <t>2.5.</t>
  </si>
  <si>
    <t>Предоставление ежемесячной денежной выплаты на обеспечение проезда детей-сирот и детей, оставшихся без попечения родителей, а также лиц из числа детей-сирот и детей, оставшихся без попечения родителей, обучающихся в муниципальных учреждениях образования,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учёбы</t>
  </si>
  <si>
    <t>2.6.</t>
  </si>
  <si>
    <t>2.7.</t>
  </si>
  <si>
    <t>2.8.</t>
  </si>
  <si>
    <t>Оплата проезда к месту лечения и обратно детей-сирот и детей, оставшихся без попечения родителей, а также лиц из числа детей, оставшихся без попечения родителей</t>
  </si>
  <si>
    <t>2.9.</t>
  </si>
  <si>
    <t>Возмещение расходов, связанных с обучением детей – сирот и детей, оставшихся без попечения родителей, а также лиц из числа детей, оставшихся без попечения родителей, на курсах по подготовке к поступлению в образовательные учреждения среднего профессионального и высшего профессионального образования</t>
  </si>
  <si>
    <t>2.10.</t>
  </si>
  <si>
    <t>2.10.1.</t>
  </si>
  <si>
    <t>2.10.2.</t>
  </si>
  <si>
    <t>2.10.3.</t>
  </si>
  <si>
    <t>2.10.4.</t>
  </si>
  <si>
    <t>2.10.5.</t>
  </si>
  <si>
    <t xml:space="preserve">Ежемесячная выплата на ребенка до достижения им возраста 3 лет  </t>
  </si>
  <si>
    <t>2.10.6.</t>
  </si>
  <si>
    <t>Предоставление мер социальной поддержи отдельным категориям инвалидов,  имеющих детей, по оплате жилых помещений частного жилищного фонда</t>
  </si>
  <si>
    <t>2.10.7.</t>
  </si>
  <si>
    <t>2.10.8.</t>
  </si>
  <si>
    <t>2.10.9.</t>
  </si>
  <si>
    <t>2.10.10.</t>
  </si>
  <si>
    <t>2.10.11.</t>
  </si>
  <si>
    <t>2.10.12.</t>
  </si>
  <si>
    <t>2.10.13.</t>
  </si>
  <si>
    <t>2.11.</t>
  </si>
  <si>
    <t>Организация льготного проезда железнодорожным транспортом пригородного сообщения обучающихся и студентов учреждений образования</t>
  </si>
  <si>
    <t>2.12.</t>
  </si>
  <si>
    <t>2.13.</t>
  </si>
  <si>
    <t>2.14.</t>
  </si>
  <si>
    <t>2.15.</t>
  </si>
  <si>
    <t>Реализация полномочий по оказанию семьям, детям и отдельным гражданам, попавшим в трудную жизненную ситуацию, помощи и реализации прав и интересов, в улучшении их социального положения, а также психологического статуса и содержание деятельности ОГКУ СО "Центр социально-психологической помощи семье и детям "Семья" в г. Ульяновске"</t>
  </si>
  <si>
    <t>-</t>
  </si>
  <si>
    <t>Областное государственное автономное учреждение социального обслуживания «Дом-интернат для престарелых и инвалидов «Союз» в с. Бригадировка»</t>
  </si>
  <si>
    <t>Предоставление соотечественникам единовременного пособия на жилищное обустройство</t>
  </si>
  <si>
    <t>5.2.</t>
  </si>
  <si>
    <t>Информирование местного населения и соотечественников, проживающих за рубежом, о добровольном переселении в Ульяновскую область</t>
  </si>
  <si>
    <t>3.1.</t>
  </si>
  <si>
    <t>3.1.1.</t>
  </si>
  <si>
    <t>3.1.1.1.</t>
  </si>
  <si>
    <t>3.1.1.2.</t>
  </si>
  <si>
    <t>3.1.1.3.</t>
  </si>
  <si>
    <t>3.1.1.4.</t>
  </si>
  <si>
    <t>3.1.1.5.</t>
  </si>
  <si>
    <t>3.1.1.6.</t>
  </si>
  <si>
    <t>3.1.1.7.</t>
  </si>
  <si>
    <t>3.1.1.8.</t>
  </si>
  <si>
    <t>3.1.1.9.</t>
  </si>
  <si>
    <t>3.2.</t>
  </si>
  <si>
    <t>3.2.1.</t>
  </si>
  <si>
    <t>3.2.1.1.</t>
  </si>
  <si>
    <t>3.2.1.2.</t>
  </si>
  <si>
    <t>3.3.</t>
  </si>
  <si>
    <t>3.3.1.</t>
  </si>
  <si>
    <t>3.3.2.</t>
  </si>
  <si>
    <t>3.3.2.1.</t>
  </si>
  <si>
    <t>3.3.2.2.</t>
  </si>
  <si>
    <t>3.3.2.3.</t>
  </si>
  <si>
    <t>3.3.2.4.</t>
  </si>
  <si>
    <t>3.4.</t>
  </si>
  <si>
    <t>3.4.1.</t>
  </si>
  <si>
    <t>4.1.</t>
  </si>
  <si>
    <t>Информирование населения и работодателей о положении на рынке труда</t>
  </si>
  <si>
    <t>Организация ярмарок вакансий и учебных рабочих мест</t>
  </si>
  <si>
    <t>Организация профессиональной ориентации граждан в целях выбора сферы деятельности (профессии), трудоустройства, профессионального обучения</t>
  </si>
  <si>
    <t xml:space="preserve">Профессиональное обучение и дополнительное профессиональное образование безработных граждан, включая обучение в другой местности </t>
  </si>
  <si>
    <t>Профессиональное обучение и дополнительное профессиональное образование незанятых граждан, которым в соответствии с законодательством Российской Федерации назначена страховая пенсия по старости и которые стремятся возобновить трудовую деятельность</t>
  </si>
  <si>
    <t>Организация проведения оплачиваемых общественных работ</t>
  </si>
  <si>
    <t>Социальная адаптация безработных граждан на рынке труда</t>
  </si>
  <si>
    <t xml:space="preserve">Мероприятия в области социального партнёрства </t>
  </si>
  <si>
    <t>Мероприятия, направленные на снижение напряжённости на рынке труда, среди незанятых инвалидов</t>
  </si>
  <si>
    <t xml:space="preserve">Информационное сопровождение реализации мероприятий </t>
  </si>
  <si>
    <t xml:space="preserve">Средства на реализацию мероприятий, направленных на снижение напряжённости на рынке труда среди незанятых инвалидов  </t>
  </si>
  <si>
    <t>Организация опережающего профессионального обучения в организациях производственной сферы, осуществляющих реструктуризацию и модернизацию производства</t>
  </si>
  <si>
    <t>Улучшение условий и охраны труда</t>
  </si>
  <si>
    <t>Организация и проведение месячника охраны труда</t>
  </si>
  <si>
    <t xml:space="preserve">Организация и проведение областных конкурсов по охране труда </t>
  </si>
  <si>
    <t>Мероприятия по реализации прав граждан на труд и создание благоприятных условий для обеспечения занятости населения (обеспечение деятельности областных государственных казённых учреждений центров занятости населения)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</si>
  <si>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</si>
  <si>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</si>
  <si>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</si>
  <si>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</si>
  <si>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</si>
  <si>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</si>
  <si>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</si>
  <si>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</si>
  <si>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</si>
  <si>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</si>
  <si>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4.2.</t>
  </si>
  <si>
    <t>4.2.1.</t>
  </si>
  <si>
    <t>4.2.1.1.</t>
  </si>
  <si>
    <t>4.2.1.2.</t>
  </si>
  <si>
    <t>4.2.2.</t>
  </si>
  <si>
    <t>4.2.3.</t>
  </si>
  <si>
    <t>4.3.</t>
  </si>
  <si>
    <t>4.4.</t>
  </si>
  <si>
    <t>4.5.</t>
  </si>
  <si>
    <t>4.5.1.</t>
  </si>
  <si>
    <t>4.5.2.</t>
  </si>
  <si>
    <t>4.6.</t>
  </si>
  <si>
    <t>4.7.</t>
  </si>
  <si>
    <t>Организация временного трудоустройства несовершеннолетних граждан в возрасте от 14 до 18 лет в свободное от учёбы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профессионального и среднего профессионального образования, ищущих работу впервые</t>
  </si>
  <si>
    <t>Содействие самозанятости безработных граждан, включая оказание гражданам, признанным в установленном порядке безработными, и гражданам, признанным в установленном порядке безработными и прошедшим профессиональное  обучение и дополнительное профессиональное образование по направлению органов службы занятости, единовременной финансовой помощи при их государственной регистрации в качестве юридического лица, индивидуального предпринимателя либо крестьянского (фермерского) хозяйства, а также единовременной финансовой помощи на подготовку документов для соответствующей государственной регистрации</t>
  </si>
  <si>
    <t>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</t>
  </si>
  <si>
    <t xml:space="preserve">Софинансирование дополнительных мероприятий в сфере занятости населения, включающих в себя содействие в трудоустройстве незанятым инвалидам, в том числе инвалидам, использующим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 </t>
  </si>
  <si>
    <t>Предоставление субсидий из областного бюджета Ульяновской области на возмещение затрат юридических лиц, индивидуальных предпринимателей на оборудование (оснащение) рабочих мест для незанятых инвалидов, в том числе инвалидов, использующих кресла-коляски, на оборудованные (оснащённые) для них рабочие места и создание инфраструктуры, необходимой для беспрепятственного доступа к рабочим местам</t>
  </si>
  <si>
    <t>Профессиональное обучение и дополнительное профессиональное образование женщин в период отпуска по уходу за ребёнком до достижения им возраста трёх лет</t>
  </si>
  <si>
    <t>6.1.</t>
  </si>
  <si>
    <t>Обеспечение деятельности центрального аппарата Министерства и его территориальных органов</t>
  </si>
  <si>
    <t>6.2.</t>
  </si>
  <si>
    <t>Организационные мероприятия: разработка программы энергосбережения и повышения энергетической эффективности, проведение энергетических обследований с оформлением энергетических паспортов</t>
  </si>
  <si>
    <t>6.3.</t>
  </si>
  <si>
    <t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 (ОГАУСО «Реабилитационный центр для инвалидов молодого возраста «Сосновый бор» в р. Вешкайма», ОГКУСО «Социально-реабилитационный центр для несовершеннолетних «Причал надежды» в г. Ульяновске»)</t>
  </si>
  <si>
    <t xml:space="preserve"> «Обеспечение реализации государственной программы»</t>
  </si>
  <si>
    <t>Правительство Ульяновской области</t>
  </si>
  <si>
    <t>Семья и дети</t>
  </si>
  <si>
    <t>3.</t>
  </si>
  <si>
    <t>6</t>
  </si>
  <si>
    <t>х</t>
  </si>
  <si>
    <t>Количество граждан пожилого возраста и инвалидов, принявших участие в областных общественно и социально значимых мероприятиях и в мероприятиях, предназначенных для реализации социокультурных потребностей граждан пожилого возраста и инвалидов, тыс. человек</t>
  </si>
  <si>
    <t>Количество работников, прошедших обучение по охране труда в аккредитованных обучающих организациях, человек</t>
  </si>
  <si>
    <t>Доля малоимущих семей и малоимущих одиноко проживающих граждан, являющихся получателями государственной социальной помощи на основании социального контракта, в общей численности малоимущих семей и малоимущих одиноко проживающих граждан, обратившихся за государственной социальной помощью, процентов</t>
  </si>
  <si>
    <t>Доля граждан, получивших государственную социальную помощь на основании социального контракта, преодолевших трудную жизненную ситуацию, в общей численности граждан, получивших государственную социальную помощь на основании социального контракта, процентов</t>
  </si>
  <si>
    <t>Ерганова Лариса Ивановна, референт отдела трудовых отношений, охраны труда и социального партнёрства, тел. 41-72-04.</t>
  </si>
  <si>
    <t>Ковальчук Виктор Иванович, референт отдела трудовой миграции, тел. 41-72-07.</t>
  </si>
  <si>
    <t>Финансирование (по всем источникам), тыс. руб.</t>
  </si>
  <si>
    <t>ИТОГО по программе</t>
  </si>
  <si>
    <t>Доля доступных для граждан пожилого возраста и инвалидов учреждений социального обслуживания в общем количестве учреждений социального обслуживания, процентов</t>
  </si>
  <si>
    <t>Количество граждан пожилого возраста, приобщённых к занятиям физической культурой и здоровому образу жизни, тыс. человек</t>
  </si>
  <si>
    <t xml:space="preserve"> Лаптев Николай Викторович, референт отдела профобучения, профориентации, тел. 41-72-03.</t>
  </si>
  <si>
    <t xml:space="preserve"> Аисова Гузель Равильевна, референт отдела со слабозащищёнными категориями граждан, тел. 42-16-75.</t>
  </si>
  <si>
    <t>Хмелевских Андрей Алексеевич, зам.директора – начальник отдела трудовых отношений, охраны труда и социального партнерства, тел. 41-17-20</t>
  </si>
  <si>
    <t xml:space="preserve"> Фирстаев Владимир Сергеевич, тел. 41-72-06 </t>
  </si>
  <si>
    <t xml:space="preserve">Фирстаев Владимир Сергеевич, тел. 41-72-06 </t>
  </si>
  <si>
    <t>Лаптев Николай Викторович, референт отдела профобу-чения, профориентации, тел. 41-72-03.</t>
  </si>
  <si>
    <t>Планируемый объем финансирования, тыс. руб.*</t>
  </si>
  <si>
    <t>Предоставленное финансирование, тыс. руб.**</t>
  </si>
  <si>
    <t>*средства предусмотрены в Государственной программе "Социальная поддержка и защита населения Ульяновской области на 2014-2018 годы" на 2014 год для выполнения данных мероприятий</t>
  </si>
  <si>
    <t>**средства предусмотрены в областном бюджете Ульяновской области на 2014 год для выполнения данных мероприятий</t>
  </si>
  <si>
    <t>Габбасова Наталья Николаевна, директор департамента охраны прав несовершеннолетних,тел. 44-95-71</t>
  </si>
  <si>
    <t xml:space="preserve">Департамент социальной защиты населения, заместитель директора департамента Нафеева Еленая Анатольевнаа, тел.44-12-85 </t>
  </si>
  <si>
    <r>
      <t xml:space="preserve">Средства на социальные выплаты безработным гражданам </t>
    </r>
    <r>
      <rPr>
        <sz val="10"/>
        <color rgb="FF000000"/>
        <rFont val="Times New Roman"/>
        <family val="1"/>
        <charset val="204"/>
      </rPr>
      <t>(в соответствии с постановлением Правительства Российской Федерации от 15.04.2014 № 298 «Об утверждении государственной программы Российской Федерации «Содействие занятости населения», Федеральным законом от 02.12.2013№ 349-ФЗ «О федеральном бюджете на 2014 год и плановый период 2015 и 2016 годов»)</t>
    </r>
  </si>
  <si>
    <t>Примечание</t>
  </si>
  <si>
    <t xml:space="preserve">Технические и технологические мероприятия: модернизация систем наружного и внутреннего освещения с установкой энергосберегающих светильников, утепление ограждающих зданий </t>
  </si>
  <si>
    <t>1.8.</t>
  </si>
  <si>
    <t>Предоставление услуг социального обслуживания инвалидам, гражданам пожилого возраста и прочим категориям граждан некоммерческими организациями не являющимися государственными (муниципальными) учреждениями, индивидуальными предпринимателями</t>
  </si>
  <si>
    <t>Государственная программа Ульяновской области "Социальная поддержка и защита населения Ульяновской области на 2014-2018 годы"</t>
  </si>
  <si>
    <t>Приложение 1</t>
  </si>
  <si>
    <t>Федеральный закон от 01.12.2014 № 384-ФЗ "О федеральном бюджете на 2015 год и на плановый период 2016 и 2017 годов"</t>
  </si>
  <si>
    <t>Соглашение между Правительстом УО и Минтрудом РФ от 18.02.2015 №12-12/666/46</t>
  </si>
  <si>
    <t xml:space="preserve">Директор департамента методологии и организации социальных выплат и 
жилищных субсидий А.А.Адонин
</t>
  </si>
  <si>
    <t>Директор департамента методологии и организации социальных выплат и 
жилищных субсидий А.А.Адонин</t>
  </si>
  <si>
    <t>Правительство Ульяновской области в (Директор ОГКУСО "Центр социально-психологической помощи семье и детям  "Семья" в г. УльяновскеЛ.А.Миронова)</t>
  </si>
  <si>
    <t xml:space="preserve"> Директор ОГКУСО "Центр социально-психологической помощи семье и детям  "Семья" в г. Ульяновске Л.А.Миронова</t>
  </si>
  <si>
    <t>Целевые индикаторы подпрограммы 1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</si>
  <si>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 социального обслуживания, процентов</t>
  </si>
  <si>
    <t>Целевые индикаторы подпрограммы 2</t>
  </si>
  <si>
    <t>Доля детей-сирот и детей, оставшихся без попечения родителей, переданных на воспитание в семьи граждан Российской Федерации, проживающих на территории Ульяновской области, в общей численности детей-сирот и детей, оставшихся без попечения родителей, проживающих на территории Ульяновской области, процентов</t>
  </si>
  <si>
    <t xml:space="preserve">Доля семей, имеющих детей, с доходом ниже величины прожиточного минимума, установленного в Ульяновской области, в общем количестве семей, имеющих детей, процентов </t>
  </si>
  <si>
    <t>Целевые индикаторы подпрограммы 3</t>
  </si>
  <si>
    <t>Целевые индикаторы подпрограммы 4</t>
  </si>
  <si>
    <t xml:space="preserve">Уровень регистрируемой безработицы к численности экономически активного населения Ульяновской области, процентов </t>
  </si>
  <si>
    <t>Доля инвалидов, которым планируется оказать содействие в трудоустройстве, в общей численности инвалидов трудоспособного возраста, процентов</t>
  </si>
  <si>
    <t xml:space="preserve">Целевые индикаторы подпрограммы 5 </t>
  </si>
  <si>
    <t xml:space="preserve">Целевые индикаторы подпрограммы 6 </t>
  </si>
  <si>
    <t>Уровень достижения плановых значений целевых индикаторов государственной программы, процентов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</si>
  <si>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Министерству здравоохранения и социального развития Ульяновской области, к уровню 2009 года (в сопоставимых условиях), процентов</t>
  </si>
  <si>
    <t>1) прием документов; 2) подготовка распорядительного документа; 3) предоставление выплаты. Выплата пособия по погребению 450 отдельным категориям граждан</t>
  </si>
  <si>
    <t xml:space="preserve">1) прием документов; 2) подготовка распорядительного документа; 3) предоставление выплаты. Предоставление дополнительных мер социальной поддержки 15 гражданам </t>
  </si>
  <si>
    <t>1) прием документов; 2) подготовка распорядительного документа; 3) предоставление выплатыОказание мер социальной поддержки 96 инвалидам боевых действий</t>
  </si>
  <si>
    <t>1) прием документов; 2) подготовка распорядительного документа; 3) предоставление выплаты. оказание мер социальной поддержки 488 гражданам</t>
  </si>
  <si>
    <t>1) прием документов; 2) подготовка распорядительного документа; 3) предоставление выплаты. Выплата пособий 1401 лицу, страдающему психическим расстройством, находящемуся в трудной жизненной ситуации</t>
  </si>
  <si>
    <t xml:space="preserve">Ежемесячное предоставление материального обеспечения 2 вдов. 1. Ежемесячное формирование выплатных  документов на Сбербанк. </t>
  </si>
  <si>
    <t>1) прием документов; 2) подготовка распорядительного документа; 3) предоставление выплаты. Единовременная выплата 20 гражданам</t>
  </si>
  <si>
    <t>1) прием документов; 2) подготовка распорядительного документа; 3) предоставление выплаты. Компенсация перевозчикам 10260 отдельных категорий граждан</t>
  </si>
  <si>
    <t>1) прием документов; 2) подготовка распорядительного документа; 3) предоставление выплаты. Ежемесячная компенсация 960 гражданам</t>
  </si>
  <si>
    <t>1) прием документов; 2) подготовка распорядительного документа; 3) предоставление выплаты. Ежемесячная выплата 236  жёнам граждан, уволенных с военной службы</t>
  </si>
  <si>
    <t>1) прием документов; 2) подготовка распорядительного документа; 3) предоставление выплаты. Ежемесячная компенсация 326764 отдельным категориям граждан</t>
  </si>
  <si>
    <t>1) прием документов; 2) подготовка распорядительного документа; 3) предоставление выплаты. ежемесячная выплата 1 гражданину</t>
  </si>
  <si>
    <t>Сопровождение программного продукта по расчёту выплат мер социальной поддержки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</si>
  <si>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20 отдельных категорий специалистов </t>
  </si>
  <si>
    <t xml:space="preserve">1) прием документов; 2) подготовка распорядительного документа; 3) предоставление выплаты. Предоставление мер государственной социальной поддержки 23 отдельных категорий специалистов </t>
  </si>
  <si>
    <t>1) прием документов; 2) подготовка распорядительного документа; 3) предоставление выплаты. Предоставление мер социальной государственной поддержки 2629 добровольным пожарным</t>
  </si>
  <si>
    <t>Предоставление мер социальной поддержки 94443 ветеранам труда.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</si>
  <si>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1) прием документов; 2) подготовка распорядительного документа; 3) предоставление выплаты. Предоставление мер социальной поддержки 355 труженикам тыла</t>
  </si>
  <si>
    <t>Предоставление мер социальной поддержки 966  реабилитированным лицам и лицам, пострадавшим от политических репрессий. По оплатем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</si>
  <si>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 xml:space="preserve">Предоставление мер социальной поддержки                           116 639 ветеранам труда Ульяновской области. По оплате ЖКУ: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</t>
  </si>
  <si>
    <t xml:space="preserve">Ежемесячные и единовременные выплаты 148 почётным гражданам 1.Прием документов. 2.Принятие решения о назначении компенс. выплаты на погребение Почётного гражданина Ульяновской области, на установление надгробия на могиле Почётного гражданина Ульяновской области. 3.Формирование выплатных документов. 4. Направление выплатных документов на оплату через Сбербанк и Главпочтамт </t>
  </si>
  <si>
    <t>Предоставление мер социальной поддержки 12723 педагогическим работникам образовательных учреждений. 1. Реестры получателей направляются в расчётную организацию (РО). 2. РО осуществляет расчёт сумм ЕДК. 3. Получение от РО реестров с рассчитанными суммами ЕДК. 4 Формирование выплатных документов на представление ЕДК через почтовые отделения и кредитные организации.</t>
  </si>
  <si>
    <t>1) прием документов; 2) подготовка распорядительного документа; 3) предоставление выплаты. Оказание  помощи 3 гражданам</t>
  </si>
  <si>
    <t>1) прием документов; 2) подготовка распорядительного документа; 3) предоставление выплаты. Компенсационные выплаты 12 гражданам</t>
  </si>
  <si>
    <t>Предоставление мер социальной поддержки на оплату жилищно-коммунальных услуг 120066 отдельным категориям граждан</t>
  </si>
  <si>
    <t>содержание учреждений социального обслуживания инвалидов, граждан пожилого возраста и иных категорий граждан)</t>
  </si>
  <si>
    <t>содержание областных государственных учреждений социальной защиты населения по обеспечению хозяйственного обслуживания</t>
  </si>
  <si>
    <t>1) прием документов; 2) подготовка распорядительного документа; 3) предоставление выплатыПредоставление дополнительных мер социальной поддержки 16447  многодетным семьям</t>
  </si>
  <si>
    <t>Выплата ежемесячного пособия на 60223 ребёнка гражданам, имеющим детей</t>
  </si>
  <si>
    <t xml:space="preserve">Реализация мер социальной поддержки 54 детей </t>
  </si>
  <si>
    <t>Предоставление мер социальной поддержи 120 отдельным категориям инвалидов,  имеющих детей</t>
  </si>
  <si>
    <t xml:space="preserve">Проверка и включение граждан в список на получение свидетельств. Подготовка распоряжения о выдаче свидетельств, выдача 250 свидетельств о предоставлении единовременных выплат. Реализация выданных 65 свидетельств (проверка правоустанавливающих документов, подготовка распоряжения о перечислении денежных средств, перечисление денежных средств) </t>
  </si>
  <si>
    <t>1) прием документов; 2) подготовка распорядительного документа; 3) предоставление выплаты. Выплата пособий по уходу за ребёнком до достижения им возраста полутора лет 4515 гражданам</t>
  </si>
  <si>
    <t>Выплата 1 пособия по беременности и родам (планирование на основании фактических данных за прошедшие 3 года)</t>
  </si>
  <si>
    <t>Выплата 1 пособия (планирование на основании фактических данных за прошедшие 3 года)</t>
  </si>
  <si>
    <t>Выплата 900 пособий</t>
  </si>
  <si>
    <t>По факту бегства отправляется запрос на финансирование</t>
  </si>
  <si>
    <t>Публикации в периодических печатных изданиях (размещение статей в газете) - ежемесячно, изготовление печатной продукци. Количество заключённых договоров 11</t>
  </si>
  <si>
    <t>Приобретение материально-технического обеспечения для проведения 57 ярмарок вакансий</t>
  </si>
  <si>
    <t xml:space="preserve">Организация проф.обучения 25 гражданам пенсионного возраста </t>
  </si>
  <si>
    <t>Конкурс Лучший работодатель года, премия 5 конкурсантам по 50,0 тыс. рублей</t>
  </si>
  <si>
    <t>Принятие НПА о проведении областного конкурса «Лучший специалист по охране труда 2015года»</t>
  </si>
  <si>
    <t>Осуществление социальных выплат гражданам, признанным в установленном порядке безработными - 2264 чел.</t>
  </si>
  <si>
    <t>Разработка рекламной продукции по программе переселения,размещение информации в СМИ</t>
  </si>
  <si>
    <t>1 кв.</t>
  </si>
  <si>
    <t>4 кв.</t>
  </si>
  <si>
    <t>2 кв.</t>
  </si>
  <si>
    <t>3 кв.</t>
  </si>
  <si>
    <t>Содержание и обеспечение деятельности детских домов, детских домов-интернатов и социально-реабилитационных центров для несовершеннолетних</t>
  </si>
  <si>
    <t>Погашение кредиторской задолженности за 2014 год.</t>
  </si>
  <si>
    <t>получателями компенсационных выплат являются 525 человек, что составляет 55,7% от запланированного количества получателей (уменьшение количества получателей связано с газификацией отдельных жилых помещений)</t>
  </si>
  <si>
    <t xml:space="preserve">Количество получателей составляет 97 человек, что составляет 81% от расчётного количества (всем обратившимся гражданам выплата предоставляется в полном объёме) </t>
  </si>
  <si>
    <t>Главное управление труда, занятости и социального благополучия  Ульяновской области , соисполнитель не предусмотрен</t>
  </si>
  <si>
    <t>Главное управление труда, занятости и социального благополучия  Ульяновской области ,</t>
  </si>
  <si>
    <t>Сведения об объёмах финансирования  за 6 месяцев  2015 года</t>
  </si>
  <si>
    <t>5.3.</t>
  </si>
  <si>
    <t>Средства на реализацию мероприятий, предусмотренных региональными программами переселения, включёнными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</si>
  <si>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Отчёт об исполнении плана -  графика реализации государственной программы по итогам 1 полугодия  2015 года</t>
  </si>
  <si>
    <t>1) прием  и проверка документов; 2) поучатель берёт направыление в организации с которой заключен договор на изготовление изделий;3) по факту изготовления изделий в органы социальной защиты поставщиками предоставляется реестр получателей изделий; 4) на основании реестра органы социальной защиты оплачивают произведённые изделия. Приобретение протезно-ортопедических изделий 1600 лицам, не имеющим инвалидности, но по медицинским показаниям нуждающимся в них</t>
  </si>
  <si>
    <t>Сбор пакетов документов от территориальных органов СЗН, подготовка заседания областной общественной комиссии, оформление протокола комиссии, подготовка распоряжения на перечисление денежных средств, предоставление адресной материальной помощи 2200 гражданам</t>
  </si>
  <si>
    <t>Сбор пакетов документов территориальными органами, приянтие решения, оформление решения протоколом, подготовка распоряжения на перечисление денежных средств, предоставление  адресной  помощи 22семьям</t>
  </si>
  <si>
    <t xml:space="preserve">1) прием документов; 2) подготовка распорядительного документа; 3) предоставление выплаты. Предоставление компенсационных выплат 1800 гражданам из числа социально не защищённых категорий </t>
  </si>
  <si>
    <t xml:space="preserve">1.Приём документов  2. Формирование выплатных документов . 3. Направление выплатных документов в Сбербанк и Главпочтамт.Ежемесячная денежная выплата 244 ветеранам творческих профессий </t>
  </si>
  <si>
    <t xml:space="preserve">Прием документов, их проверка и включение граждан в список на получение свидетельств. Подготовка распоряжения о выдаче свидетельств, выдача 14 свидетельств о предоставлении единовременных выплат. Реализация выданных 3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</si>
  <si>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Подготовка распорядительного документа на основании выдачи удостоверения "Ветеран труда"; 2) предоставление выплаты. Ежегодная денежная выплата 104844 гражданам родившихся в период с 01 января 1932 года по 31 декабря 1945 года</t>
  </si>
  <si>
    <t>1) прием документов; 2) подготовка распорядительного документа; 3) предоставление выплаты. Предоставление мер социальной поддержки 280  сельским старостам</t>
  </si>
  <si>
    <t>1) прием документов; 2) подготовка распорядительного документа; 3) предоставление выплаты. Предоставление единовременного пособия 1 работнику противопожарной службы Ульяновской области</t>
  </si>
  <si>
    <t xml:space="preserve">Подготовка распоряжения о выдаче свидетельств, выдача 60 свидетельств о предоставлении единовременных выплат. Реализация выданных 20 свидетельств (проверка правоустанавливающих документов, подготовка распоряжения о перечислении денежных средств, перечисление денежных средств)  </t>
  </si>
  <si>
    <t>Предоставление мер социальной поддержки 8105 лицам награжденным знаком «Почетный донор СССР» и «Почетный донор России»</t>
  </si>
  <si>
    <t>1) прием документов; 2) подготовка распорядительного документа; 3) предоставление выплаты. Выплаты 31 инвалидам  страховых премий</t>
  </si>
  <si>
    <t>1) прием документов; 2) подготовка распорядительного документа; 3) перечисление денежных средств. Возмещение расходов 10 детям-сиротам и детям, оставшихся без попечения родителей</t>
  </si>
  <si>
    <t>Проверка документов, подготовка распоряжений о выдаче сертификатов, выдача сертификатов.  Подготовка распоряжений о реализация 1200 сертификатов</t>
  </si>
  <si>
    <t>Кандидаты на соискание премии выдвигаются органами местного самоуправления муниципальных образований Ульяновской области, общественными объединениями, учреждениями, фондами, иными организациями</t>
  </si>
  <si>
    <t xml:space="preserve">Ежемесячная выплата на 3400 детей до достижения им возраста 3 лет  </t>
  </si>
  <si>
    <t>ежемесячная денежная выплата 323 беременным женщинам и кормящим матерям</t>
  </si>
  <si>
    <t>Единовременное пособие 36 беременным женам военнослужащих,</t>
  </si>
  <si>
    <t>подготовка ТЗ</t>
  </si>
  <si>
    <t>заключение договора на оказание услуг, проведение курса лекций</t>
  </si>
  <si>
    <t xml:space="preserve">заключение договора на оказание услуг, издание 10 буклетов  по 200 шт. </t>
  </si>
  <si>
    <t>заключение договора, проведение мероприятия  Дня больных рассеянным склерозом,</t>
  </si>
  <si>
    <t>спортивные соревнования для инвалидов и граждан пожилого возраста общее количество участников 100 человек</t>
  </si>
  <si>
    <t>Оказание проф.ориентационной поддержки 3250 чел.</t>
  </si>
  <si>
    <t>Организация обучения и повышения квалификации безработных граждан для эффективной адаптации на рынке труда. Оказание образовательных услуг 352 чел.</t>
  </si>
  <si>
    <t>На временные работы планируется трудоустроить 1553 человек, из них: несовершеннолетних гр. от 14до18 лет-1504, безработных гр. от 18до 20 лет-10, безработных гр. испытывающих трудности-40</t>
  </si>
  <si>
    <t>Организация работы с безработными гражданами по адаптации на рынке труда 398 чел.</t>
  </si>
  <si>
    <t>Оказание консультационных и методических услуг по вопросам организации предпринимательской деятельности и содействие в разработке бизнес-плана. Предоставление гос. услуги по содействию в самозанятости безработным гражданам с выплатой единовременной финансовой помощи -18 чел.</t>
  </si>
  <si>
    <t>Софинансирование 5% из областного бюджета на трудоустройство 75 незанятых инвалидов</t>
  </si>
  <si>
    <t>Планируется оборудовать рабочие места и трудоустроить на них 75 незанятых инвалидов</t>
  </si>
  <si>
    <t>Организация обучения 90 женщин в период отпуска по уходу за ребёнком до трёх лет</t>
  </si>
  <si>
    <t>Средства будут потрачены на изготовление печатной продукции в полном объёме для проведения месячника</t>
  </si>
  <si>
    <t xml:space="preserve">Проведение мероприятий поь повышению тепловой защиты здания: утепление стен зданий и установка трйного остекленения в учреждениях ОГКОУ Детский дом "Соловьиная роща" и ОГКОУ Ульяновский детский дом "Гнёздышко" на сумму 250,0 тыс.рублей, модернизация систем наружного и внутреннего освещения с установкой энергосберегающих светильников, утепление ограждающих зданий (стен, входов, окон, подвалов, установка оконных блоков и т.д.)в ОГАУСО «Реабилитационный центр для инвалидов молодого возраста «Сосновый бор».  </t>
  </si>
  <si>
    <t>Программа пользуется популярностью, число желающих принять в ней участие стабильно растёт</t>
  </si>
  <si>
    <t>Доля детей-сирот и детей, оставшихся без попечения родителей, переданных на воспитание в семьи,  в общей численности детей-сирот и детей,  оставшихся без попечения родителей, процентов</t>
  </si>
  <si>
    <t>Доля граждан, получивших социальные услуги в учреждениях социального обслуживания, в общей численности граждан, обратившихся за получением социальных услуг в учреждениях социального обслуживания, процентов</t>
  </si>
  <si>
    <t>Причина отклонения</t>
  </si>
  <si>
    <t>Процент достижения целевого индикатора (Факт/План)</t>
  </si>
  <si>
    <t>Фактическое значение</t>
  </si>
  <si>
    <t>Плановое значение</t>
  </si>
  <si>
    <t>Наименование целевого индикатора</t>
  </si>
  <si>
    <t>"Социальная поддержка и защита населения Ульяновской области на 2014-2018 годы"</t>
  </si>
  <si>
    <t>Сведения о достижении целевых показателей Государственной программы</t>
  </si>
  <si>
    <t>Приложение 3</t>
  </si>
  <si>
    <t>Уровень регистрируемой безработицы к численности эко-номически активного населения Ульяновской области, процентов (4.1)</t>
  </si>
  <si>
    <t xml:space="preserve">По состоянию на 01.07.2015 численность безработных граждан, зарегистрированных в государственных учреждениях службы занятости населения, составила 3662 человек. Уровень регистрируемой безработицы составил 0,56%. </t>
  </si>
  <si>
    <t>Количество получателей государственных услуг в сфере содействия занятости населения, человек (4.4.)</t>
  </si>
  <si>
    <t>Количество получателей государственных услуг  от общегодового показателя не отклонён. В следующих отчётных периодах планируется увеличение получателей государственных услуг в сфере содействия занятости населения.</t>
  </si>
  <si>
    <t>Доля инвалидов, которым планируется оказать содействие в трудоустройстве, в общей численности инвалидов трудоспособного возраста, процентов (4.2)</t>
  </si>
  <si>
    <t>За 2 квартал 2015 года трудоустроено 40 незанятых инвалидов. Дальнейшее трудоустройство инвалидов на специально оборудованных рабочие места будет проходить согласно установленному сетевому плану-графику.</t>
  </si>
  <si>
    <t>Количество работников, прошедших обучение по охране труда в аккредитованных обучающих организациях, человек (4.3)</t>
  </si>
  <si>
    <t>Численность пострадавших в результате несчастных случаев на производстве с утратой трудоспособности на 1 рабочий день и более человек (4.5)</t>
  </si>
  <si>
    <t>Предпологалось, что во 2 квартале 2015 года от производственного травматизма в организациях Ульяновской области пострадает 141 человек. По факту в организациях Ульяновской области пострадало 85 человек, что в 1,7  раза меньше запланированного.</t>
  </si>
  <si>
    <t>Количество рабочих мест, на которых проведена специальная оценка условий труда (от общего количества рабочих мест) (4.6)</t>
  </si>
  <si>
    <t>Изменения в законодательстве о льготном пенсионном обеспечении работников, занятых во вредных условиях труда позволило активизировать деятельность работодателей по проведению специальной оценки условий труда</t>
  </si>
  <si>
    <t>Удельный вес рабочих мест, на которых проведена специальная оценка условий труда, в общем количестве рабочих мест, процентов (4.7)</t>
  </si>
  <si>
    <t xml:space="preserve">Показатель подсчитывается по итогам года </t>
  </si>
  <si>
    <t>Численность работников, занятых во вредных производствах и (или) опасных условиях труда, тыс. человек (4.8)</t>
  </si>
  <si>
    <t>Показатель подсчитывается Федеральной службой  государственной статистики по Ульяновской области 1 раз в год (за 2015 год показатель будет определён в мае 2016 года)</t>
  </si>
  <si>
    <t>Удельный вес работников, занятых во вредных производствах и (или) опасных условиях труда, от общей численности работников, процентов (4.9)</t>
  </si>
  <si>
    <t>Доля участников подпрограммы, прибывших в  Ульяновскую область и вставших на миграционный учёт, в общем числе участников подпрограммы, процентов (5.1)</t>
  </si>
  <si>
    <t>Численность соотечественников из числа граждан, вынужденно покинувших территорию Украины, переселившихся в Ульяновскую область, человек (5.1.1)</t>
  </si>
  <si>
    <t>Доля участников подпрограммы в возрасте до 30 лет в общей численности соотечественников трудоспособного возраста, процентов (5.2)</t>
  </si>
  <si>
    <t>Перевыполнение планового показателя: программа пользуется большой популярностью среди молодёжи. За отчётный период в программе согласовано участие 209 человек</t>
  </si>
  <si>
    <t>Численность получателей государственных услуг 19925</t>
  </si>
  <si>
    <t xml:space="preserve">Всего численность получателей госуслуг за 2 квартал 2015 года составила 23375 </t>
  </si>
  <si>
    <t xml:space="preserve">Услуги по информированию оказаны 6536 гражданам, в т.ч. 5424 -  безработным гражданам, 1112 – работодателям.  </t>
  </si>
  <si>
    <t>Органами службы занятости населения  проведено 81 ярмарок вакансий.  В организации и проведении ярмарок вакансий приняли участие 450 работодателей. Всего ярмарки вакансий посетили 9846 граждан.</t>
  </si>
  <si>
    <t>Организация профориентационной работы выстроена с учётом потребности рынка труда. Услуги профориентации оказаны 3374 человек.</t>
  </si>
  <si>
    <t>Работа проводилась с учётом потребностей рынка труда и выбора востребованных профессий. Профессиональное обучение и дополнительное профобразование получили  500 человек.</t>
  </si>
  <si>
    <t>Профессиональное обучение и дополнительное профессиональное образование прошли 46 незанятых граждан, которым назначена страховая пенсия по старости</t>
  </si>
  <si>
    <t>Планируется организовать и направить 522 чел. на работы носящий временный или сезонный характер</t>
  </si>
  <si>
    <t xml:space="preserve">Во втором квартале 2015 года трудоустроено на общественные работы 500  человека, из них 406 – безработные. </t>
  </si>
  <si>
    <t>На временные работы трудоустроено 2748 человек. Несовершеннолетних граждан от 14 до18 лет -  2698 человек, безработных граждан от 18 до 20 лет – 7 человек, безработных граждан испытывающих трудности – 43 человека.</t>
  </si>
  <si>
    <t>Государственные услуги по социальной адаптации оказаны  346 безработным гражданам.</t>
  </si>
  <si>
    <t>Получили единовременную финансовую помощь на открытие собственного дела и единовременную финансовую помощь на подготовку документов 26 безработных граждан</t>
  </si>
  <si>
    <t>17 апреля 2015 года в рамках проведения «Дней службы занятости» на Координационном комитете содействия занятости населения Ульяновской области состоялось награждение победителей ежегодного областного конкурса «Лучший работодатель в сфере содействия занятости населения в Ульяновской области».</t>
  </si>
  <si>
    <t>За второй квартал 2015 года трудоустроено 40 незанятых инвалидов на оборудованные (оснащённые) рабочие места.</t>
  </si>
  <si>
    <t>Софинансирование 5% из областного бюджета на трудоустройство 40 незанятых инвалидов</t>
  </si>
  <si>
    <t>Изготовление буклетов 1125 шт.</t>
  </si>
  <si>
    <t xml:space="preserve">Была размещена информация в СМИ по вопросам  содействие в  трудоустройстве незанятым инвалидам: 4 ролика на ТВ, 30 сообщений в печатных изданиях (статьи, анонсы, объявления, заметки) </t>
  </si>
  <si>
    <t>Трудоустроено 40 незанятых инвалидов на оборудованные (оснащённые) рабочие места.</t>
  </si>
  <si>
    <t xml:space="preserve">Во втором квартале приступили к профессиональному обучению  130 женщин, находящихся в отпуске по уходу за ребёнком до достижения им возраста трёх лет. </t>
  </si>
  <si>
    <t xml:space="preserve">В  апреле 2015 года организован и проведён областной месячник охраны труда в Ульяновской области. Организовано более 80 мероприятий, направленных на улучшение условий труда работников организаций, проведено 39 обучающих семинаров, совещаний, собраний по вопросам охраны труда.
</t>
  </si>
  <si>
    <t>Обеспечение деятельности областных государственных казённых учреждений центров занятости населения</t>
  </si>
  <si>
    <t>Выплата пособий по безработице, стипендий, досрочных пенсий и материальной помощи безработным осуществлялась своевременно и в полном объёме. Социальные выплаты за 2 квартал 2015 года получили 3182 человек, в том числе 2550 человек получили пособие по безработице, 495 человек – стипендию, 61 человек – материальную помощь,  досрочную пенсию – 76 человек.</t>
  </si>
  <si>
    <t>Пособия планируется выплатить 248 соотечественникам</t>
  </si>
  <si>
    <t>За отчётный период 2015 года пособие получили 427 соотечественников, прибывших на территорию Ульяновской области.</t>
  </si>
  <si>
    <t>Заключен договор с типографией на изготовление буклетов по информированию соотечественников о программе переселения, выпуск которых запланирован на 3 квартал 2015 года.</t>
  </si>
  <si>
    <t>1) прием документов; 2) проверка документов; 3) принятие решения о назначении пособия; 4) выплата пособия. Выплата единовременного пособия на 32 усыновленных ребенка</t>
  </si>
  <si>
    <t>Произведены выплаты единовременного пособия на 16 усыновлённых детей, 50 % выполнения</t>
  </si>
  <si>
    <t>Предоставление единовременного пособия осуществляется на заявительной основе. По состоянию на 01.07.2015 приняты документы для выплаты единовременного пособия на 16 усыновлённых детей, приняты решения о назначении пособия на 16 усыновлённых детей</t>
  </si>
  <si>
    <t>1) прием документов; 2) подготовка распорядительного документа; 3) предоставление выплаты. Ежемесячная выплата 300 детям-сиротам и детям, оставшимся без попечения родителей</t>
  </si>
  <si>
    <t>Произведены выплаты 122 получателям, процент выполнения 68,7</t>
  </si>
  <si>
    <t>Предоставление ежемесячной денежной выплаты производится на заявительной основе</t>
  </si>
  <si>
    <t>1) прием документов; 2) составление акта обследования жилого помещения, проверка выполненных работ; 3) рассмотрение документов на комиссии; 4) принятие решения об окончании ремонта; 5) перечисление денежных средств. Проведен ремонт 14 лицам из числа детей-сирот и детей, оставшихся без попечения родителей</t>
  </si>
  <si>
    <t>произведено возмещение расходов 9 получателям, процент выполнения 60,7</t>
  </si>
  <si>
    <t>Выдано 9 сертификатов на проведение ремонта жилых помещений</t>
  </si>
  <si>
    <t>1) прием заявок от МО; 2) предоставление субвенций МО; 3) перечисление денежных средств. Ежемесячная выплата на проезд 16368 детям-сиротам и детям, оставшимся без попечения родителей</t>
  </si>
  <si>
    <t>ежемесячные выплаты на проезд произведены 15839 детям-сиротам и детям, оставшимся без попечения родителей, процент выполнения 137,7</t>
  </si>
  <si>
    <t>1) прием заявок от МО; 2) предоставление субвенций МО; 3) перечисление денежных средств. 22530 получателей (на ребёнка); 14296 получателей (ежемесячное вознаграждение)</t>
  </si>
  <si>
    <t>перечислены денежные средства на содержание 22337 детей, 13923 получателям ежемесячного вознаграждения, процент выполнения 103,9</t>
  </si>
  <si>
    <t>1) прием заявок от МО; 2) предоставление субвенций МО; 3) расходование субвенций; 4) предоставление в уполномоченный орган отчёта об использовании субвенций. Предоставление субвенций для 23 МО</t>
  </si>
  <si>
    <t>субвенции для осуществления деятельности по опеке и попечительству для 23 МО, процент выполнения 102,9 %</t>
  </si>
  <si>
    <t>1) приём документов; 2) приобретение уполномоченным органом проездных документов; 3) представление уполномоченным органом финансовой отчетности об использовании средств в Министерство финансов Ульяновской области. Оплата проезда к месту лечения и обратно 26 детям-сиротам и детям, оставшихся без попечения родителей</t>
  </si>
  <si>
    <t>Расходы не производились в связи с отсутствием заявителей</t>
  </si>
  <si>
    <t>Возмещены расходы 12 детям-сиротам и детям, оставшимся без попечения родителей, процент выполнения 136,2</t>
  </si>
  <si>
    <t>1) прием документов; 2) подготовка распорядительного документа; 3) перечисление денежных средств. Выплата единовременного пособия гражданам при передаче в семью 200 детей</t>
  </si>
  <si>
    <t>Единовременное пособие выплачено на 211 детей, процент выполнения 87,2</t>
  </si>
  <si>
    <t xml:space="preserve">В соответствии с распределением субвенций на выплату единовременного пособия
при всех формах устройства детей, лишенных родительского
попечения, в семью бюджетам субъектов Российской Федерации
на 2015 год Ульяновской области предусмотрены федеральные средства в сумме 10 427,5 тыс.рублей. Согласно заявке, направленной в Минобрнауки России (письмо от 19.12.2014 № 73-ИОГВ-08.01.01.03/16007исх), размер субвенции, установленный федеральным законом о бюджете на выплату единовременных пособий при всех формах устройства детей, лишенных родительского попечения в семью, на 2015 год составляет 7729,16 тыс.рублей. Исполнение мероприятия из расчета суммы федеральных средств 10 427,5 тыс.рублей составляет 58,5 %. Исполнение мероприятия из расчета суммы федеральных средств 7729,16 тыс.рублей составляет 87,2 %.
</t>
  </si>
  <si>
    <t>На 01.01.2015 значение целевого индикатора составило 80,8 %, на 01.07.2015 - 82,0 % (целевой индикатор перевыполнен)</t>
  </si>
  <si>
    <t xml:space="preserve">льготным проездом воспользовалось 10255 федеральных льготников, что составляет 100% </t>
  </si>
  <si>
    <t>Предоставление субсидий  на оплату жилого помещения и коммунальных услуг 30000 граждан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</si>
  <si>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субсидии на оплату жилого помещения и коммунальных услуг предоставлены 31404 получателям, что составляет 104,6% от запланированного</t>
  </si>
  <si>
    <t>Предоставление компенсаций по оплате жилого помещения и коммунальных услуг 10000 граждан. 1. Прием документов. 2.Принятие решения о назначении субсидии. 3. Назначение субсидии. 3. Формирование выплатных документов. 4. Направление выплатных документов в кредитные организации и отделения почтовой связи.</t>
  </si>
  <si>
    <t>компенсации на оплату жилого помещения и коммунальных услуг предоставлены 11588 получателям, что составляет 115,9% от запланированного</t>
  </si>
  <si>
    <t>1) прием документов; 2) подготовка распорядительного документа; 3) предоставление выплаты. Ежемесячная компенсация 2642 гражданам</t>
  </si>
  <si>
    <t>ежемесячная денежная компенсация на оплату жилого помещения и коммунальных услуг предоставлена 2294 чел., что составляет 87% от запланированного количества (получатели являются убывающей категорией льготников)</t>
  </si>
  <si>
    <t>ежемесячную денежную компенсацию на оплату жилого помещения и коммунальных услуг получают 331110 чел. (101%)</t>
  </si>
  <si>
    <t>заключен договор с ЗАО "Центр ценообразования и экономического анализа" на проверку сметной документации</t>
  </si>
  <si>
    <t>локально-сметный расчет направлен в центр ценообразования</t>
  </si>
  <si>
    <t>подготовлено  технико - экономическое задание, локальная сметная  документация   на ремонтные работы  входных групп, асфальтирования в сумме 3000000 рублей, которые 30.06.2015 г. переданы ОГКУ «Ульяновскоблстройзаказчик».</t>
  </si>
  <si>
    <t>заключен договор от 02.04.2015 на сумму 50,0 т.р. на услуги по применению жестового языка для родителей детей-инвалидов с нарушением слуха</t>
  </si>
  <si>
    <t>заключен договор от 30.01.2015 №0/12-17  с ООО "Арт-Профи" на сумму 50,0 т.р. на услуги по проведению информационно-просветительской компании</t>
  </si>
  <si>
    <t>ОГКУСО "Дом-интернат для престарелых и инвалидов в г. Новоульновске подготовлено технико - экономическое задание  на  приобретение автомобиля для перевозки инвалидов-колясочников на сумму 1070500 рублей, после согласования направлено в Департамент закупок Министерства экономического развития Ульяновской области. 09.07.2015 г. Объявлен  электронный аукцион, который состоится 26.07.2015 г.</t>
  </si>
  <si>
    <t>Исполнение по финаснированию состваляет 73,4 % от плана. Выплата заработной платы, начислений на неё, оплата коммунальных услуг и прочих расходов производится в следующим за отчётным месяце.</t>
  </si>
  <si>
    <t>Исполнение по финаснированию состваляет 70,0% от плана. Выплата заработной платы, начислений на неё, оплата коммунальных услуг и прочих расходов производится в следующим за отчётным месяце.</t>
  </si>
  <si>
    <t>Исполнение по финаснированию состваляет 68,5% от плана. Выплата заработной платы, начислений на неё, оплата коммунальных услуг и прочих расходов производится в следующим за отчётным месяце.</t>
  </si>
  <si>
    <t>заключен договор от 05.02.2015 №0/12-20 с ИП Алексеева Н.А. на сумму 25,0 т.р. на оказание услуг по пассажирским перевозкам участников спортивного фестиваля среди слепых, проводимого в г. Казань</t>
  </si>
  <si>
    <t>Ежемесячное предоставление пенсии за выслугу лет 660 бывшим гос. служащим Ульяновской области. 1. Прием документов. 2. Принятие Распоряжения Минздравсоцразвития Ульяновской области о назначении (об отказе) пенсии за выслугу лет. 3. Назначение пенсии. 4. Формирование выплатных документов. 5. Направление выплатных документов в Сбербанк и Главпочтамт.</t>
  </si>
  <si>
    <t>Оказание Психолого-педагогическая помощь гражданам в трудной жизненной ситуации и семьям в социально-опасном положении 7946 чел.дн. Психологическая коррекция нарушений общения и искажений в психическом развитии у детей и отдельных граждан 3695 чел. дн. Организация работы телефона экстренной психологической помощи 2190 часов. Организационно-методическая работа 442 часа</t>
  </si>
  <si>
    <t>Содержание центра,  оказание Психолого-педагогическая помощь гражданам в трудной жизненной ситуации и семьям в социально-опасном положении 14410,28чел.дн.(181,4% от плана) Психологическая коррекция нарушений общения и искажений в психическом развитии у детей и отдельных граждан 3657,9 чел. дн. (98,9 % от плана). Организация работы телефона экстренной психологической помощи 2190 часов.(100% от плана)  Организационно-методическая работа 432 часа(97,7% от плана).</t>
  </si>
  <si>
    <t>Ежемесячная денежная компенсация на оплату жилого помещения и отдельных видов коммунальных услуг предоставлена 12702 педагогическим работникам сельской местности, что составляет 99,8% от запланированного количества получателей .</t>
  </si>
  <si>
    <t>Выполнение составляет 100 % от годовой нормы</t>
  </si>
  <si>
    <t>Меры социальной поддержки предоставлены 688 гражданам, что составляет 101,9%.</t>
  </si>
  <si>
    <t>Меры социальной поддержки предоставлены 145 гражданам, что составляет 98% от запланированного.</t>
  </si>
  <si>
    <t>Обращений от граждан не поступало.</t>
  </si>
  <si>
    <t>Меры социальной поддержки предоставлены 2 человекам, что составляет 100% от запланированного.</t>
  </si>
  <si>
    <t>Меры социальной поддержки предоставлены 22 специалистам, что составило 95,6% от запланированного.</t>
  </si>
  <si>
    <t>Ресурсное обеспечение   мер социальной поддержки семей,имеющих детей,от общей потребности на их реализпацию, процентов</t>
  </si>
  <si>
    <t>Ресурсное обеспечение  социальной поддержки отдельных категорий граждан от общей потребности на их реализацию, процентов</t>
  </si>
  <si>
    <t xml:space="preserve">1) заключены договора с 4 поставщиками на потавку протезно-ортопедических изделий
2) прием  и проверка документов от граждан;  3) получатель берёт направление в организации с которой заключен договор на изготовление изделий;4) по факту изготовления изделий в органы социальной защиты поставщиками предоставляется реестр получателей изделий; 5) на основании реестра учреждение социальной защиты оплачивает произведённые изделия. Приобретено протезно-ортопедических изделий 1357 лицамне имеющим инвалидности в т.ч. лица ставшие на очередь в 2014 году,  но по медицинским показаниям нуждающимся в них. </t>
  </si>
  <si>
    <t>ОГКОУ Детский дом "Соловьиная роща" на ремонт межпанельных швов и замену оконных блоков израсходовано 250,0 тыс. руб.,  и ОГКОУ Ульяновский детский дом "Гнёздышко" на сумму 120,0 тыс.рублей -установлены энергосберегающие светильники, и пластиковые окна, , ОГКУСО «Социально-реабилитационный центр для несовершеннолетних «Причал надежды» в г. Ульяновске»произведена замена окон на пластиковые в общей сумме 1,0 млн. руб.</t>
  </si>
  <si>
    <t>Исполнение по финаснированию состваляет 75,8 % от плана. Выплата заработной платы, начислений на неё производится в следующим за отчётным месяце.</t>
  </si>
  <si>
    <t>Потребление объемов энергетических ресурсов в 1 полугодии 2015 года снижены по отношению к 1 полугодии 2009 года на 16 процентов</t>
  </si>
  <si>
    <t>реализация мероприятий запланирована на 3-4 кварталы</t>
  </si>
  <si>
    <t xml:space="preserve">мероприятия запланированы на 3-4 квартал </t>
  </si>
  <si>
    <t>мероприятия запланированы на 3-4 квартал</t>
  </si>
  <si>
    <t xml:space="preserve">В Ульяновской области увеличилось количество, аккредитованных  организаций оказывающих услуги по обучению по охране труда (в 2014 году - 13 организаций, в 2015 году до 17 организаций) </t>
  </si>
  <si>
    <t xml:space="preserve">Проведено 9  социально-значимых мероприятия (День освобождения Ленинграда от блокады", день окончания Сталинградской битвы, Областной турнир среди воспитанников детских домой "Хоккей с мячём", Проведение "Дня памяти о  россиянах, исполняющих свой долг ", проведение мероприятия  "День памяти погибшим на Чернобыльской АЭС", проведение митинга посвящённого 2Дню освобождения узников фашизма", фестиваль "Храните детские сердца", проведение акции "Помоги собраться в школу", проведение мероприятия "День социального работника ). Проведение трудового форума отменено в связи с запретом Губернатора </t>
  </si>
  <si>
    <t>Проведение 11 социально-значимых мероприятия</t>
  </si>
  <si>
    <t>В первом полугодии выплата 2015 г. ЕДК представлена 96343 ветеранам , что составляет 102%  от запланированной .</t>
  </si>
  <si>
    <t>В первом полугодии  меры социальной поддержки представлены 298труженникам в полном объёме, что  составляет 84%  от запланированной .</t>
  </si>
  <si>
    <t>В первом полугодии  меры социальной поддержки представлены 927 реабилитированным гражданам в  полном объёме, что  составляет 96%  от запланированной .</t>
  </si>
  <si>
    <t>В первом полугодии  выплаты ЕДК представлены 115565  ветеранам в  полном объёме, что  составляет 99%  от запланированной .</t>
  </si>
  <si>
    <t>В первом полугодии  выплата пособия по погребению представлена 831 человеку в полном объёме.</t>
  </si>
  <si>
    <t>В первом полугодии за компенсацией обратилось 660 чел.,что составляет 37% от запланируемой численности.</t>
  </si>
  <si>
    <t>В первом полугодии  меры социальной поддержки представлены 91 инвалиду в  полном объёме, что  составляет 94%  от запланированной .</t>
  </si>
  <si>
    <t>В первом полугодии  меры социальной поддержки представлены 480 человек в  полном объёме, что  составляет 98%  от запланированной .</t>
  </si>
  <si>
    <t>В первом полугодии  меры социальной поддержки представлены 2668 человек в  полном объёме.</t>
  </si>
  <si>
    <t>В первом полугодии обращений за данной мерой соц.поддержки нет</t>
  </si>
  <si>
    <t>В первом полугодии  меры социальной поддержки представлены 214 человек в  полном объёме, что  составляет 88%  от запланированной .</t>
  </si>
  <si>
    <t>В первом полугодии  меры социальной поддержки представлены 228 человек в  полном объёме, что  составляет 97%  от запланированной .</t>
  </si>
  <si>
    <t>В первом полугодии ежегодная денежная  выплата представлена 98821 человек в  полном объёме, что  составляет 94%  от запланированной .</t>
  </si>
  <si>
    <t>Данная мера соц. поддержки предоставляется по фактическому обращению граждан. (1чел.)</t>
  </si>
  <si>
    <t>В первом полугодии меры социальной поддержки  представлены 215 человек в  полном объёме, что  составляет 77%  от запланированной .</t>
  </si>
  <si>
    <t>В первом полугодии меры социальной поддержки  представлены 11чел. в  полном объёме, что  составляет 55%  от запланированной .</t>
  </si>
  <si>
    <t>В первом полугодии  меры социальной поддержки представлены 1585 человек в  полном объёме, что  составляет 60%  от запланированной .</t>
  </si>
  <si>
    <t>Обращений не поступало.</t>
  </si>
  <si>
    <t>В первом полугодии ежегодная денежная  выплата представлена 7974 человек в  полном объёме, что  составляет 98%  от запланированной .</t>
  </si>
  <si>
    <t>В первом полугодии ежемесячная денежная  выплата представлена 11 человек в  полном объёме, что  составляет 100%  от запланированной .</t>
  </si>
  <si>
    <t>В первом полугодии ежемесячная денежная  выплата представлена 119437 человек в  полном объёме, что  составляет 99,5%  от запланированной .</t>
  </si>
  <si>
    <t>В первом полугодии ежегодная денежная  выплата представлена 18 человек в  полном объёме, что  составляет 58%  от запланированной .</t>
  </si>
  <si>
    <t>В первом полугодии меры социальной поддержки  представлены 17303 человек в  полном объёме, что  составляет 105%  от запланированной .</t>
  </si>
  <si>
    <t>В первом полугодии меры социальной поддержки  представлены 56282 человек в  полном объёме, что  составляет 93%  от запланированной .</t>
  </si>
  <si>
    <t>В первом полугодии меры социальной поддержки  представлены 47 человек в  полном объёме, что  составляет 87%  от запланированной .</t>
  </si>
  <si>
    <t>В первом полугодии меры социальной поддержки  представлены 3461 человек в  полном объёме, что  составляет 101%  от запланированной .</t>
  </si>
  <si>
    <t>расходы не производились в связи с отсутствием заявителей</t>
  </si>
  <si>
    <t>В первом полугодии меры социальной поддержки  представлены 207 человек в  полном объёме, что  составляет 64%  от запланированной .</t>
  </si>
  <si>
    <t>В первом полугодии меры социальной поддержки  представлены 42 человек в  полном объёме.</t>
  </si>
  <si>
    <t>В первом полугодии пособие предоставлено на  1451 ребёнка</t>
  </si>
  <si>
    <t>В первом полугодии меры социальной поддержки  представлены 2768 человек в  полном объёме.</t>
  </si>
  <si>
    <t>В первом полугодии перевозки несовершеннолетних не осуществлялись.</t>
  </si>
  <si>
    <t>проверка документов и формирование учётных дел  граждан для выдачи свидетельств</t>
  </si>
  <si>
    <t>За первое полугодие 2015 г.выплачено 49247 пособий по уходу за ребенком до достижения им 1,5 лет. Численность получателей составила 10278 чел.</t>
  </si>
  <si>
    <t>на 01.07.2015 заключено 40 социальных контрактов</t>
  </si>
  <si>
    <t>на 01.07.2015 оказана адресная материальная помощь 1811  чел., оказавшимся в трудной жизненной ситуации</t>
  </si>
  <si>
    <t>На 03.07.2015 произведена единовременная социальная выплата на приобретение жилья 10 государственным гражданским служащим</t>
  </si>
  <si>
    <t>Осуществлена проверка 3073 документов граждан. Выдано 2099 государственных сертификатов  на именной капитал "Семья" . Реализовано 974 сертификата, выданных в 2008-2013 годах</t>
  </si>
  <si>
    <t>осуществлена проверка и включение 258 граждан в список на получение свидетельств. Подготовлено 6 распоряжений о выдаче свидетельств, выдано 258 свидетельств о предоставлении единовременных выплат. Реализовано 205 свидетельств (подготовлено 17 распоряжений о пречислении денежных средств)</t>
  </si>
  <si>
    <t xml:space="preserve"> Департамент социального благополучия, заместитель директора департамента  - начальник отдела социальной помощи и социальной сплочённости  Нафеева Еленая Анатольевнаа, департамент охраны прапв несовершеннолетних  директор департамента Габбасова Н.Н.</t>
  </si>
  <si>
    <t>Проведено 2 социально значимых мероприятий (Поздравление женщин в родильных домах, родивших мальчиков 23 февраля, Торжественные мероприятия, приуроченные к Международному женскому дню. Поздравление, родивших девочек 8 марта 2015, оплата договоров по "Роди патриота в День России)</t>
  </si>
  <si>
    <t>Департамент занятости, труда, и развития социального партнёрства Савельева Галина Александровна, директор департамента, 41-72-03</t>
  </si>
  <si>
    <t>Снижение объёма потребления энергетических ресурсов (электрическая и тепловая энергия, природный газ) и воды учреждениями, подведомственными Главного управления труда,занятости и социального благополучия Ульяновской области, к уровню 2009 года (в сопоставимых условиях), процентов</t>
  </si>
  <si>
    <t>Обеспечено методологическое сопровождение внедрения и реализации технологии предоставления МСП населению Ульяновкой области по принципу одного окна с использованием АИС СЗН в связи с изменением законодательства в полном объеме;   
Произведена доработка, настройка автоматизированной информационной системы «Единый социальный регистр населения Ульяновской области в полном объеме. 
Внедрена новая подсистема, предназначенная для формирования и ведения реестра поставщиков социальных услуг (далее – Реестр) и регистра получателей социальных услуг (далее – Регистр) Ульяновской области в соответствии с требованиями Федерального закона № 442-ФЗ от 28 декабря 2013 г. «Об основах социального обслуживания граждан в Российской Федерации» в полном объеме.</t>
  </si>
  <si>
    <t>Ресурсное обеспечение   мер социальной поддержки семей,имеющих детей,от общей потребности на их реализацию, процентов</t>
  </si>
  <si>
    <t>Уровень достижения плановых значений целевых индикаторов государственной программы по итогам 1 полугодия 2015 года составляет 95 процентов</t>
  </si>
  <si>
    <t>4.5.3.</t>
  </si>
  <si>
    <t>Выплата денежного вознаграждения гражданам, оказавшим содействие в раскрытии налоговых преступлений, установлении фактов совершения налоговых правонарушений, производстве по делам об административных правонарушениях в области налогов и сборов, а также в области законодательства о труде и об охране труд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</si>
</sst>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_р_._-;\-* #,##0.00_р_._-;_-* &quot;-&quot;???_р_._-;_-@_-"/>
    <numFmt numFmtId="166" formatCode="_-* #,##0.0_р_._-;\-* #,##0.0_р_._-;_-* &quot;-&quot;??_р_._-;_-@_-"/>
    <numFmt numFmtId="167" formatCode="0.0"/>
    <numFmt numFmtId="168" formatCode="_-* #,##0.0_р_._-;\-* #,##0.0_р_._-;_-* &quot;-&quot;?_р_._-;_-@_-"/>
    <numFmt numFmtId="169" formatCode="[$-419]General"/>
    <numFmt numFmtId="170" formatCode="_-* #,##0_р_._-;\-* #,##0_р_._-;_-* &quot;-&quot;??_р_._-;_-@_-"/>
    <numFmt numFmtId="171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9" fontId="32" fillId="0" borderId="0"/>
  </cellStyleXfs>
  <cellXfs count="559">
    <xf numFmtId="0" fontId="0" fillId="0" borderId="0" xfId="0"/>
    <xf numFmtId="0" fontId="0" fillId="0" borderId="0" xfId="0" applyFill="1"/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14" fillId="0" borderId="0" xfId="0" applyFont="1" applyFill="1"/>
    <xf numFmtId="0" fontId="11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/>
    <xf numFmtId="4" fontId="0" fillId="0" borderId="0" xfId="0" applyNumberFormat="1" applyFill="1"/>
    <xf numFmtId="0" fontId="16" fillId="0" borderId="0" xfId="0" applyFont="1" applyFill="1"/>
    <xf numFmtId="0" fontId="8" fillId="0" borderId="0" xfId="0" applyFont="1" applyFill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justify" vertical="center" wrapText="1"/>
    </xf>
    <xf numFmtId="0" fontId="17" fillId="0" borderId="0" xfId="0" applyFont="1" applyFill="1"/>
    <xf numFmtId="0" fontId="18" fillId="0" borderId="5" xfId="0" applyFont="1" applyFill="1" applyBorder="1" applyAlignment="1">
      <alignment horizontal="center" vertical="center" wrapText="1"/>
    </xf>
    <xf numFmtId="4" fontId="19" fillId="0" borderId="0" xfId="0" applyNumberFormat="1" applyFont="1" applyFill="1"/>
    <xf numFmtId="0" fontId="19" fillId="0" borderId="0" xfId="0" applyFont="1" applyFill="1"/>
    <xf numFmtId="4" fontId="18" fillId="0" borderId="1" xfId="1" applyNumberFormat="1" applyFont="1" applyFill="1" applyBorder="1" applyAlignment="1">
      <alignment vertical="center" wrapText="1"/>
    </xf>
    <xf numFmtId="4" fontId="18" fillId="0" borderId="1" xfId="1" applyNumberFormat="1" applyFont="1" applyFill="1" applyBorder="1" applyAlignment="1">
      <alignment horizontal="justify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4" fontId="21" fillId="0" borderId="1" xfId="1" applyNumberFormat="1" applyFont="1" applyFill="1" applyBorder="1" applyAlignment="1">
      <alignment vertical="center" wrapText="1"/>
    </xf>
    <xf numFmtId="4" fontId="21" fillId="0" borderId="1" xfId="1" applyNumberFormat="1" applyFont="1" applyFill="1" applyBorder="1" applyAlignment="1">
      <alignment horizontal="justify" vertical="center" wrapText="1"/>
    </xf>
    <xf numFmtId="4" fontId="14" fillId="0" borderId="1" xfId="0" applyNumberFormat="1" applyFont="1" applyFill="1" applyBorder="1"/>
    <xf numFmtId="4" fontId="14" fillId="0" borderId="0" xfId="0" applyNumberFormat="1" applyFont="1" applyFill="1" applyAlignment="1">
      <alignment horizontal="center" vertical="top" wrapText="1"/>
    </xf>
    <xf numFmtId="4" fontId="20" fillId="0" borderId="1" xfId="0" applyNumberFormat="1" applyFont="1" applyFill="1" applyBorder="1"/>
    <xf numFmtId="0" fontId="20" fillId="0" borderId="1" xfId="0" applyNumberFormat="1" applyFont="1" applyFill="1" applyBorder="1"/>
    <xf numFmtId="4" fontId="20" fillId="0" borderId="1" xfId="0" applyNumberFormat="1" applyFont="1" applyFill="1" applyBorder="1" applyAlignment="1">
      <alignment horizontal="justify" vertical="center" wrapText="1"/>
    </xf>
    <xf numFmtId="0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justify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/>
    <xf numFmtId="4" fontId="20" fillId="0" borderId="2" xfId="0" applyNumberFormat="1" applyFont="1" applyFill="1" applyBorder="1"/>
    <xf numFmtId="0" fontId="20" fillId="0" borderId="1" xfId="0" applyFont="1" applyFill="1" applyBorder="1" applyAlignment="1">
      <alignment horizontal="justify" vertical="center" wrapText="1"/>
    </xf>
    <xf numFmtId="4" fontId="20" fillId="0" borderId="3" xfId="0" applyNumberFormat="1" applyFont="1" applyFill="1" applyBorder="1"/>
    <xf numFmtId="4" fontId="14" fillId="0" borderId="2" xfId="0" applyNumberFormat="1" applyFont="1" applyFill="1" applyBorder="1"/>
    <xf numFmtId="4" fontId="14" fillId="0" borderId="3" xfId="0" applyNumberFormat="1" applyFont="1" applyFill="1" applyBorder="1"/>
    <xf numFmtId="0" fontId="14" fillId="0" borderId="2" xfId="0" applyNumberFormat="1" applyFont="1" applyFill="1" applyBorder="1"/>
    <xf numFmtId="0" fontId="20" fillId="0" borderId="2" xfId="0" applyNumberFormat="1" applyFont="1" applyFill="1" applyBorder="1"/>
    <xf numFmtId="0" fontId="14" fillId="0" borderId="5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justify" vertical="center" wrapText="1"/>
    </xf>
    <xf numFmtId="43" fontId="18" fillId="0" borderId="1" xfId="6" applyFont="1" applyFill="1" applyBorder="1" applyAlignment="1">
      <alignment horizontal="right" vertical="center" wrapText="1"/>
    </xf>
    <xf numFmtId="0" fontId="18" fillId="0" borderId="1" xfId="1" applyFont="1" applyFill="1" applyBorder="1" applyAlignment="1">
      <alignment vertical="center" wrapText="1"/>
    </xf>
    <xf numFmtId="0" fontId="18" fillId="0" borderId="1" xfId="1" applyFont="1" applyFill="1" applyBorder="1" applyAlignment="1">
      <alignment horizontal="justify" vertical="center" wrapText="1"/>
    </xf>
    <xf numFmtId="43" fontId="20" fillId="0" borderId="1" xfId="6" applyFont="1" applyFill="1" applyBorder="1"/>
    <xf numFmtId="4" fontId="14" fillId="0" borderId="1" xfId="0" applyNumberFormat="1" applyFont="1" applyFill="1" applyBorder="1" applyAlignment="1">
      <alignment vertical="center"/>
    </xf>
    <xf numFmtId="166" fontId="14" fillId="0" borderId="1" xfId="6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43" fontId="14" fillId="0" borderId="1" xfId="6" applyFont="1" applyFill="1" applyBorder="1"/>
    <xf numFmtId="0" fontId="14" fillId="0" borderId="5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top" wrapText="1"/>
    </xf>
    <xf numFmtId="4" fontId="14" fillId="0" borderId="3" xfId="0" applyNumberFormat="1" applyFont="1" applyFill="1" applyBorder="1" applyAlignment="1">
      <alignment vertical="center" wrapText="1"/>
    </xf>
    <xf numFmtId="4" fontId="20" fillId="0" borderId="3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 applyAlignment="1">
      <alignment vertical="center" wrapText="1"/>
    </xf>
    <xf numFmtId="4" fontId="20" fillId="0" borderId="15" xfId="0" applyNumberFormat="1" applyFont="1" applyFill="1" applyBorder="1" applyAlignment="1">
      <alignment vertical="center" wrapText="1"/>
    </xf>
    <xf numFmtId="4" fontId="14" fillId="0" borderId="15" xfId="0" applyNumberFormat="1" applyFont="1" applyFill="1" applyBorder="1"/>
    <xf numFmtId="0" fontId="20" fillId="0" borderId="1" xfId="0" applyNumberFormat="1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43" fontId="14" fillId="0" borderId="1" xfId="6" applyFont="1" applyFill="1" applyBorder="1" applyAlignment="1">
      <alignment horizontal="center" vertical="center" wrapText="1"/>
    </xf>
    <xf numFmtId="43" fontId="14" fillId="0" borderId="1" xfId="6" applyFont="1" applyFill="1" applyBorder="1" applyAlignment="1">
      <alignment horizontal="center"/>
    </xf>
    <xf numFmtId="43" fontId="20" fillId="0" borderId="1" xfId="6" applyFont="1" applyFill="1" applyBorder="1" applyAlignment="1">
      <alignment vertical="center"/>
    </xf>
    <xf numFmtId="43" fontId="14" fillId="0" borderId="2" xfId="6" applyFont="1" applyFill="1" applyBorder="1"/>
    <xf numFmtId="43" fontId="20" fillId="0" borderId="2" xfId="6" applyFont="1" applyFill="1" applyBorder="1"/>
    <xf numFmtId="166" fontId="18" fillId="0" borderId="1" xfId="6" applyNumberFormat="1" applyFont="1" applyFill="1" applyBorder="1" applyAlignment="1">
      <alignment horizontal="center" vertical="center" wrapText="1"/>
    </xf>
    <xf numFmtId="166" fontId="14" fillId="0" borderId="1" xfId="6" applyNumberFormat="1" applyFont="1" applyFill="1" applyBorder="1" applyAlignment="1">
      <alignment vertical="center" wrapText="1"/>
    </xf>
    <xf numFmtId="166" fontId="14" fillId="0" borderId="2" xfId="6" applyNumberFormat="1" applyFont="1" applyFill="1" applyBorder="1" applyAlignment="1">
      <alignment vertical="center" wrapText="1"/>
    </xf>
    <xf numFmtId="166" fontId="14" fillId="0" borderId="14" xfId="6" applyNumberFormat="1" applyFont="1" applyFill="1" applyBorder="1" applyAlignment="1">
      <alignment vertical="center" wrapText="1"/>
    </xf>
    <xf numFmtId="166" fontId="14" fillId="0" borderId="15" xfId="6" applyNumberFormat="1" applyFont="1" applyFill="1" applyBorder="1" applyAlignment="1">
      <alignment vertical="center" wrapText="1"/>
    </xf>
    <xf numFmtId="166" fontId="18" fillId="0" borderId="1" xfId="6" applyNumberFormat="1" applyFont="1" applyFill="1" applyBorder="1" applyAlignment="1">
      <alignment horizontal="right" vertical="center" wrapText="1"/>
    </xf>
    <xf numFmtId="166" fontId="21" fillId="0" borderId="14" xfId="6" applyNumberFormat="1" applyFont="1" applyFill="1" applyBorder="1" applyAlignment="1">
      <alignment vertical="center" wrapText="1"/>
    </xf>
    <xf numFmtId="166" fontId="21" fillId="0" borderId="1" xfId="6" applyNumberFormat="1" applyFont="1" applyFill="1" applyBorder="1" applyAlignment="1">
      <alignment horizontal="center" vertical="center" wrapText="1"/>
    </xf>
    <xf numFmtId="166" fontId="21" fillId="0" borderId="1" xfId="6" applyNumberFormat="1" applyFont="1" applyFill="1" applyBorder="1" applyAlignment="1">
      <alignment vertical="center" wrapText="1"/>
    </xf>
    <xf numFmtId="166" fontId="21" fillId="0" borderId="15" xfId="6" applyNumberFormat="1" applyFont="1" applyFill="1" applyBorder="1" applyAlignment="1">
      <alignment vertical="center" wrapText="1"/>
    </xf>
    <xf numFmtId="166" fontId="21" fillId="0" borderId="2" xfId="6" applyNumberFormat="1" applyFont="1" applyFill="1" applyBorder="1" applyAlignment="1">
      <alignment vertical="center" wrapText="1"/>
    </xf>
    <xf numFmtId="166" fontId="20" fillId="0" borderId="1" xfId="6" applyNumberFormat="1" applyFont="1" applyFill="1" applyBorder="1" applyAlignment="1">
      <alignment vertical="center" wrapText="1"/>
    </xf>
    <xf numFmtId="166" fontId="20" fillId="0" borderId="15" xfId="6" applyNumberFormat="1" applyFont="1" applyFill="1" applyBorder="1" applyAlignment="1">
      <alignment vertical="center" wrapText="1"/>
    </xf>
    <xf numFmtId="166" fontId="14" fillId="0" borderId="14" xfId="6" applyNumberFormat="1" applyFont="1" applyFill="1" applyBorder="1" applyAlignment="1">
      <alignment vertical="center"/>
    </xf>
    <xf numFmtId="166" fontId="14" fillId="0" borderId="1" xfId="6" applyNumberFormat="1" applyFont="1" applyFill="1" applyBorder="1"/>
    <xf numFmtId="166" fontId="14" fillId="0" borderId="15" xfId="6" applyNumberFormat="1" applyFont="1" applyFill="1" applyBorder="1"/>
    <xf numFmtId="166" fontId="14" fillId="0" borderId="2" xfId="6" applyNumberFormat="1" applyFont="1" applyFill="1" applyBorder="1"/>
    <xf numFmtId="166" fontId="14" fillId="0" borderId="14" xfId="6" applyNumberFormat="1" applyFont="1" applyFill="1" applyBorder="1"/>
    <xf numFmtId="166" fontId="20" fillId="0" borderId="1" xfId="6" applyNumberFormat="1" applyFont="1" applyFill="1" applyBorder="1"/>
    <xf numFmtId="166" fontId="20" fillId="0" borderId="2" xfId="6" applyNumberFormat="1" applyFont="1" applyFill="1" applyBorder="1"/>
    <xf numFmtId="166" fontId="20" fillId="0" borderId="1" xfId="6" applyNumberFormat="1" applyFont="1" applyFill="1" applyBorder="1" applyAlignment="1">
      <alignment vertical="center"/>
    </xf>
    <xf numFmtId="166" fontId="20" fillId="0" borderId="14" xfId="6" applyNumberFormat="1" applyFont="1" applyFill="1" applyBorder="1" applyAlignment="1">
      <alignment vertical="center"/>
    </xf>
    <xf numFmtId="166" fontId="20" fillId="0" borderId="15" xfId="6" applyNumberFormat="1" applyFont="1" applyFill="1" applyBorder="1"/>
    <xf numFmtId="166" fontId="14" fillId="0" borderId="15" xfId="6" applyNumberFormat="1" applyFont="1" applyFill="1" applyBorder="1" applyAlignment="1">
      <alignment vertical="center"/>
    </xf>
    <xf numFmtId="166" fontId="14" fillId="0" borderId="2" xfId="6" applyNumberFormat="1" applyFont="1" applyFill="1" applyBorder="1" applyAlignment="1">
      <alignment vertical="center"/>
    </xf>
    <xf numFmtId="4" fontId="20" fillId="0" borderId="15" xfId="0" applyNumberFormat="1" applyFont="1" applyFill="1" applyBorder="1"/>
    <xf numFmtId="4" fontId="14" fillId="0" borderId="15" xfId="0" applyNumberFormat="1" applyFont="1" applyFill="1" applyBorder="1" applyAlignment="1">
      <alignment vertical="center"/>
    </xf>
    <xf numFmtId="43" fontId="20" fillId="0" borderId="7" xfId="6" applyFont="1" applyFill="1" applyBorder="1" applyAlignment="1">
      <alignment vertical="center"/>
    </xf>
    <xf numFmtId="166" fontId="20" fillId="0" borderId="7" xfId="6" applyNumberFormat="1" applyFont="1" applyFill="1" applyBorder="1" applyAlignment="1">
      <alignment vertical="center"/>
    </xf>
    <xf numFmtId="166" fontId="20" fillId="0" borderId="15" xfId="6" applyNumberFormat="1" applyFont="1" applyFill="1" applyBorder="1" applyAlignment="1">
      <alignment vertical="center"/>
    </xf>
    <xf numFmtId="166" fontId="20" fillId="0" borderId="1" xfId="6" applyNumberFormat="1" applyFont="1" applyFill="1" applyBorder="1" applyAlignment="1">
      <alignment horizontal="center" vertical="center" wrapText="1"/>
    </xf>
    <xf numFmtId="43" fontId="20" fillId="0" borderId="2" xfId="6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3" fontId="14" fillId="0" borderId="2" xfId="6" applyFont="1" applyFill="1" applyBorder="1" applyAlignment="1">
      <alignment horizontal="center"/>
    </xf>
    <xf numFmtId="4" fontId="20" fillId="0" borderId="13" xfId="0" applyNumberFormat="1" applyFont="1" applyFill="1" applyBorder="1"/>
    <xf numFmtId="166" fontId="20" fillId="0" borderId="14" xfId="6" applyNumberFormat="1" applyFont="1" applyFill="1" applyBorder="1"/>
    <xf numFmtId="166" fontId="14" fillId="0" borderId="14" xfId="6" applyNumberFormat="1" applyFont="1" applyFill="1" applyBorder="1" applyAlignment="1">
      <alignment horizontal="center"/>
    </xf>
    <xf numFmtId="9" fontId="11" fillId="0" borderId="0" xfId="7" applyFont="1" applyFill="1"/>
    <xf numFmtId="166" fontId="21" fillId="0" borderId="3" xfId="6" applyNumberFormat="1" applyFont="1" applyFill="1" applyBorder="1" applyAlignment="1">
      <alignment horizontal="center" vertical="center" wrapText="1"/>
    </xf>
    <xf numFmtId="9" fontId="11" fillId="0" borderId="0" xfId="7" applyFont="1" applyFill="1" applyAlignment="1">
      <alignment vertical="center"/>
    </xf>
    <xf numFmtId="4" fontId="18" fillId="0" borderId="5" xfId="1" applyNumberFormat="1" applyFont="1" applyFill="1" applyBorder="1" applyAlignment="1">
      <alignment vertical="center" wrapText="1"/>
    </xf>
    <xf numFmtId="4" fontId="18" fillId="0" borderId="5" xfId="1" applyNumberFormat="1" applyFont="1" applyFill="1" applyBorder="1" applyAlignment="1">
      <alignment horizontal="justify" vertical="center" wrapText="1"/>
    </xf>
    <xf numFmtId="166" fontId="14" fillId="0" borderId="17" xfId="6" applyNumberFormat="1" applyFont="1" applyFill="1" applyBorder="1" applyAlignment="1">
      <alignment vertical="center"/>
    </xf>
    <xf numFmtId="166" fontId="18" fillId="0" borderId="5" xfId="6" applyNumberFormat="1" applyFont="1" applyFill="1" applyBorder="1" applyAlignment="1">
      <alignment horizontal="center" vertical="center" wrapText="1"/>
    </xf>
    <xf numFmtId="166" fontId="14" fillId="0" borderId="5" xfId="6" applyNumberFormat="1" applyFont="1" applyFill="1" applyBorder="1" applyAlignment="1">
      <alignment vertical="center"/>
    </xf>
    <xf numFmtId="166" fontId="14" fillId="0" borderId="18" xfId="6" applyNumberFormat="1" applyFont="1" applyFill="1" applyBorder="1" applyAlignment="1">
      <alignment vertical="center"/>
    </xf>
    <xf numFmtId="166" fontId="14" fillId="0" borderId="10" xfId="6" applyNumberFormat="1" applyFont="1" applyFill="1" applyBorder="1" applyAlignment="1">
      <alignment vertical="center"/>
    </xf>
    <xf numFmtId="166" fontId="18" fillId="0" borderId="5" xfId="6" applyNumberFormat="1" applyFont="1" applyFill="1" applyBorder="1" applyAlignment="1">
      <alignment horizontal="right" vertical="center" wrapText="1"/>
    </xf>
    <xf numFmtId="4" fontId="14" fillId="0" borderId="18" xfId="0" applyNumberFormat="1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vertical="center"/>
    </xf>
    <xf numFmtId="4" fontId="20" fillId="0" borderId="19" xfId="0" applyNumberFormat="1" applyFont="1" applyFill="1" applyBorder="1"/>
    <xf numFmtId="4" fontId="21" fillId="0" borderId="20" xfId="0" applyNumberFormat="1" applyFont="1" applyFill="1" applyBorder="1" applyAlignment="1">
      <alignment horizontal="left" vertical="center" wrapText="1"/>
    </xf>
    <xf numFmtId="4" fontId="14" fillId="0" borderId="21" xfId="0" applyNumberFormat="1" applyFont="1" applyFill="1" applyBorder="1" applyAlignment="1">
      <alignment vertical="top" wrapText="1"/>
    </xf>
    <xf numFmtId="166" fontId="21" fillId="0" borderId="20" xfId="6" applyNumberFormat="1" applyFont="1" applyFill="1" applyBorder="1"/>
    <xf numFmtId="166" fontId="20" fillId="0" borderId="20" xfId="6" applyNumberFormat="1" applyFont="1" applyFill="1" applyBorder="1"/>
    <xf numFmtId="166" fontId="20" fillId="0" borderId="22" xfId="6" applyNumberFormat="1" applyFont="1" applyFill="1" applyBorder="1"/>
    <xf numFmtId="4" fontId="20" fillId="0" borderId="22" xfId="0" applyNumberFormat="1" applyFont="1" applyFill="1" applyBorder="1"/>
    <xf numFmtId="4" fontId="20" fillId="0" borderId="23" xfId="0" applyNumberFormat="1" applyFont="1" applyFill="1" applyBorder="1"/>
    <xf numFmtId="166" fontId="21" fillId="0" borderId="24" xfId="6" applyNumberFormat="1" applyFont="1" applyFill="1" applyBorder="1"/>
    <xf numFmtId="166" fontId="21" fillId="0" borderId="19" xfId="6" applyNumberFormat="1" applyFont="1" applyFill="1" applyBorder="1" applyAlignment="1">
      <alignment vertical="center"/>
    </xf>
    <xf numFmtId="9" fontId="13" fillId="0" borderId="0" xfId="7" applyFont="1" applyFill="1"/>
    <xf numFmtId="166" fontId="18" fillId="0" borderId="1" xfId="6" applyNumberFormat="1" applyFont="1" applyFill="1" applyBorder="1" applyAlignment="1">
      <alignment vertical="center"/>
    </xf>
    <xf numFmtId="4" fontId="20" fillId="0" borderId="12" xfId="0" applyNumberFormat="1" applyFont="1" applyFill="1" applyBorder="1"/>
    <xf numFmtId="0" fontId="20" fillId="0" borderId="7" xfId="0" applyFont="1" applyFill="1" applyBorder="1" applyAlignment="1">
      <alignment horizontal="justify" vertical="center" wrapText="1"/>
    </xf>
    <xf numFmtId="4" fontId="20" fillId="0" borderId="27" xfId="0" applyNumberFormat="1" applyFont="1" applyFill="1" applyBorder="1"/>
    <xf numFmtId="0" fontId="14" fillId="0" borderId="10" xfId="0" applyNumberFormat="1" applyFont="1" applyFill="1" applyBorder="1"/>
    <xf numFmtId="0" fontId="14" fillId="0" borderId="5" xfId="0" applyFont="1" applyFill="1" applyBorder="1" applyAlignment="1">
      <alignment horizontal="justify" vertical="center" wrapText="1"/>
    </xf>
    <xf numFmtId="4" fontId="14" fillId="0" borderId="17" xfId="0" applyNumberFormat="1" applyFont="1" applyFill="1" applyBorder="1" applyAlignment="1">
      <alignment vertical="center"/>
    </xf>
    <xf numFmtId="164" fontId="18" fillId="0" borderId="5" xfId="2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/>
    <xf numFmtId="4" fontId="14" fillId="0" borderId="18" xfId="0" applyNumberFormat="1" applyFont="1" applyFill="1" applyBorder="1"/>
    <xf numFmtId="4" fontId="14" fillId="0" borderId="9" xfId="0" applyNumberFormat="1" applyFont="1" applyFill="1" applyBorder="1"/>
    <xf numFmtId="4" fontId="20" fillId="0" borderId="21" xfId="0" applyNumberFormat="1" applyFont="1" applyFill="1" applyBorder="1" applyAlignment="1">
      <alignment vertical="top"/>
    </xf>
    <xf numFmtId="4" fontId="20" fillId="0" borderId="20" xfId="0" applyNumberFormat="1" applyFont="1" applyFill="1" applyBorder="1"/>
    <xf numFmtId="43" fontId="21" fillId="0" borderId="20" xfId="6" applyFont="1" applyFill="1" applyBorder="1"/>
    <xf numFmtId="43" fontId="21" fillId="0" borderId="19" xfId="6" applyFont="1" applyFill="1" applyBorder="1"/>
    <xf numFmtId="4" fontId="18" fillId="0" borderId="7" xfId="0" applyNumberFormat="1" applyFont="1" applyFill="1" applyBorder="1" applyAlignment="1">
      <alignment vertical="center" wrapText="1"/>
    </xf>
    <xf numFmtId="4" fontId="18" fillId="0" borderId="7" xfId="0" applyNumberFormat="1" applyFont="1" applyFill="1" applyBorder="1" applyAlignment="1">
      <alignment horizontal="justify" vertical="center" wrapText="1"/>
    </xf>
    <xf numFmtId="4" fontId="14" fillId="0" borderId="26" xfId="0" applyNumberFormat="1" applyFont="1" applyFill="1" applyBorder="1" applyAlignment="1">
      <alignment vertical="center"/>
    </xf>
    <xf numFmtId="164" fontId="18" fillId="0" borderId="7" xfId="2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/>
    <xf numFmtId="4" fontId="14" fillId="0" borderId="27" xfId="0" applyNumberFormat="1" applyFont="1" applyFill="1" applyBorder="1"/>
    <xf numFmtId="4" fontId="14" fillId="0" borderId="13" xfId="0" applyNumberFormat="1" applyFont="1" applyFill="1" applyBorder="1"/>
    <xf numFmtId="4" fontId="14" fillId="0" borderId="12" xfId="0" applyNumberFormat="1" applyFont="1" applyFill="1" applyBorder="1"/>
    <xf numFmtId="4" fontId="14" fillId="0" borderId="26" xfId="0" applyNumberFormat="1" applyFont="1" applyFill="1" applyBorder="1"/>
    <xf numFmtId="43" fontId="18" fillId="0" borderId="7" xfId="6" applyFont="1" applyFill="1" applyBorder="1" applyAlignment="1">
      <alignment horizontal="right" vertical="center" wrapText="1"/>
    </xf>
    <xf numFmtId="4" fontId="18" fillId="0" borderId="5" xfId="0" applyNumberFormat="1" applyFont="1" applyFill="1" applyBorder="1" applyAlignment="1">
      <alignment vertical="center" wrapText="1"/>
    </xf>
    <xf numFmtId="4" fontId="18" fillId="0" borderId="5" xfId="0" applyNumberFormat="1" applyFont="1" applyFill="1" applyBorder="1" applyAlignment="1">
      <alignment horizontal="justify" vertical="center" wrapText="1"/>
    </xf>
    <xf numFmtId="4" fontId="14" fillId="0" borderId="10" xfId="0" applyNumberFormat="1" applyFont="1" applyFill="1" applyBorder="1"/>
    <xf numFmtId="4" fontId="14" fillId="0" borderId="17" xfId="0" applyNumberFormat="1" applyFont="1" applyFill="1" applyBorder="1"/>
    <xf numFmtId="43" fontId="18" fillId="0" borderId="5" xfId="6" applyFont="1" applyFill="1" applyBorder="1" applyAlignment="1">
      <alignment horizontal="right" vertical="center" wrapText="1"/>
    </xf>
    <xf numFmtId="4" fontId="21" fillId="0" borderId="20" xfId="0" applyNumberFormat="1" applyFont="1" applyFill="1" applyBorder="1"/>
    <xf numFmtId="4" fontId="20" fillId="0" borderId="21" xfId="0" applyNumberFormat="1" applyFont="1" applyFill="1" applyBorder="1"/>
    <xf numFmtId="0" fontId="18" fillId="0" borderId="7" xfId="1" applyFont="1" applyFill="1" applyBorder="1" applyAlignment="1">
      <alignment vertical="center" wrapText="1"/>
    </xf>
    <xf numFmtId="0" fontId="18" fillId="0" borderId="7" xfId="1" applyFont="1" applyFill="1" applyBorder="1" applyAlignment="1">
      <alignment horizontal="justify" vertical="center" wrapText="1"/>
    </xf>
    <xf numFmtId="166" fontId="18" fillId="0" borderId="7" xfId="6" applyNumberFormat="1" applyFont="1" applyFill="1" applyBorder="1" applyAlignment="1">
      <alignment vertical="center"/>
    </xf>
    <xf numFmtId="166" fontId="14" fillId="0" borderId="7" xfId="6" applyNumberFormat="1" applyFont="1" applyFill="1" applyBorder="1" applyAlignment="1">
      <alignment vertical="center"/>
    </xf>
    <xf numFmtId="166" fontId="14" fillId="0" borderId="27" xfId="6" applyNumberFormat="1" applyFont="1" applyFill="1" applyBorder="1" applyAlignment="1">
      <alignment vertical="center"/>
    </xf>
    <xf numFmtId="166" fontId="14" fillId="0" borderId="12" xfId="6" applyNumberFormat="1" applyFont="1" applyFill="1" applyBorder="1" applyAlignment="1">
      <alignment vertical="center"/>
    </xf>
    <xf numFmtId="166" fontId="14" fillId="0" borderId="26" xfId="6" applyNumberFormat="1" applyFont="1" applyFill="1" applyBorder="1" applyAlignment="1">
      <alignment vertical="center"/>
    </xf>
    <xf numFmtId="0" fontId="18" fillId="0" borderId="5" xfId="1" applyFont="1" applyFill="1" applyBorder="1" applyAlignment="1">
      <alignment vertical="center" wrapText="1"/>
    </xf>
    <xf numFmtId="0" fontId="18" fillId="0" borderId="5" xfId="1" applyFont="1" applyFill="1" applyBorder="1" applyAlignment="1">
      <alignment horizontal="justify" vertical="center" wrapText="1"/>
    </xf>
    <xf numFmtId="166" fontId="18" fillId="0" borderId="5" xfId="6" applyNumberFormat="1" applyFont="1" applyFill="1" applyBorder="1" applyAlignment="1">
      <alignment vertical="center"/>
    </xf>
    <xf numFmtId="0" fontId="14" fillId="0" borderId="5" xfId="0" applyNumberFormat="1" applyFont="1" applyFill="1" applyBorder="1"/>
    <xf numFmtId="4" fontId="14" fillId="0" borderId="5" xfId="0" applyNumberFormat="1" applyFont="1" applyFill="1" applyBorder="1" applyAlignment="1">
      <alignment horizontal="justify" vertical="center" wrapText="1"/>
    </xf>
    <xf numFmtId="166" fontId="14" fillId="0" borderId="5" xfId="6" applyNumberFormat="1" applyFont="1" applyFill="1" applyBorder="1"/>
    <xf numFmtId="166" fontId="14" fillId="0" borderId="18" xfId="6" applyNumberFormat="1" applyFont="1" applyFill="1" applyBorder="1"/>
    <xf numFmtId="43" fontId="14" fillId="0" borderId="5" xfId="6" applyFont="1" applyFill="1" applyBorder="1"/>
    <xf numFmtId="43" fontId="14" fillId="0" borderId="10" xfId="6" applyFont="1" applyFill="1" applyBorder="1"/>
    <xf numFmtId="166" fontId="14" fillId="0" borderId="17" xfId="6" applyNumberFormat="1" applyFont="1" applyFill="1" applyBorder="1"/>
    <xf numFmtId="0" fontId="20" fillId="0" borderId="19" xfId="0" applyNumberFormat="1" applyFont="1" applyFill="1" applyBorder="1"/>
    <xf numFmtId="166" fontId="20" fillId="0" borderId="19" xfId="6" applyNumberFormat="1" applyFont="1" applyFill="1" applyBorder="1" applyAlignment="1">
      <alignment vertical="center"/>
    </xf>
    <xf numFmtId="166" fontId="21" fillId="0" borderId="20" xfId="6" applyNumberFormat="1" applyFont="1" applyFill="1" applyBorder="1" applyAlignment="1">
      <alignment horizontal="center"/>
    </xf>
    <xf numFmtId="166" fontId="20" fillId="0" borderId="20" xfId="6" applyNumberFormat="1" applyFont="1" applyFill="1" applyBorder="1" applyAlignment="1">
      <alignment horizontal="center"/>
    </xf>
    <xf numFmtId="166" fontId="20" fillId="0" borderId="22" xfId="6" applyNumberFormat="1" applyFont="1" applyFill="1" applyBorder="1" applyAlignment="1">
      <alignment horizontal="center"/>
    </xf>
    <xf numFmtId="43" fontId="20" fillId="0" borderId="20" xfId="6" applyFont="1" applyFill="1" applyBorder="1" applyAlignment="1">
      <alignment horizontal="center"/>
    </xf>
    <xf numFmtId="43" fontId="20" fillId="0" borderId="21" xfId="6" applyFont="1" applyFill="1" applyBorder="1" applyAlignment="1">
      <alignment horizontal="center"/>
    </xf>
    <xf numFmtId="166" fontId="20" fillId="0" borderId="19" xfId="6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5" xfId="0" applyNumberFormat="1" applyFont="1" applyFill="1" applyBorder="1" applyAlignment="1">
      <alignment vertical="center"/>
    </xf>
    <xf numFmtId="4" fontId="20" fillId="0" borderId="10" xfId="0" applyNumberFormat="1" applyFont="1" applyFill="1" applyBorder="1" applyAlignment="1">
      <alignment vertical="center"/>
    </xf>
    <xf numFmtId="4" fontId="21" fillId="0" borderId="30" xfId="0" applyNumberFormat="1" applyFont="1" applyFill="1" applyBorder="1" applyAlignment="1">
      <alignment horizontal="left" vertical="center" wrapText="1"/>
    </xf>
    <xf numFmtId="4" fontId="20" fillId="0" borderId="31" xfId="0" applyNumberFormat="1" applyFont="1" applyFill="1" applyBorder="1" applyAlignment="1">
      <alignment vertical="center"/>
    </xf>
    <xf numFmtId="166" fontId="21" fillId="0" borderId="30" xfId="6" applyNumberFormat="1" applyFont="1" applyFill="1" applyBorder="1" applyAlignment="1">
      <alignment vertical="center"/>
    </xf>
    <xf numFmtId="166" fontId="21" fillId="0" borderId="32" xfId="6" applyNumberFormat="1" applyFont="1" applyFill="1" applyBorder="1" applyAlignment="1">
      <alignment vertical="center"/>
    </xf>
    <xf numFmtId="166" fontId="20" fillId="0" borderId="32" xfId="6" applyNumberFormat="1" applyFont="1" applyFill="1" applyBorder="1" applyAlignment="1">
      <alignment vertical="center"/>
    </xf>
    <xf numFmtId="166" fontId="20" fillId="0" borderId="33" xfId="6" applyNumberFormat="1" applyFont="1" applyFill="1" applyBorder="1" applyAlignment="1">
      <alignment vertical="center"/>
    </xf>
    <xf numFmtId="166" fontId="20" fillId="0" borderId="31" xfId="6" applyNumberFormat="1" applyFont="1" applyFill="1" applyBorder="1" applyAlignment="1">
      <alignment vertical="center"/>
    </xf>
    <xf numFmtId="4" fontId="20" fillId="0" borderId="32" xfId="0" applyNumberFormat="1" applyFont="1" applyFill="1" applyBorder="1" applyAlignment="1">
      <alignment vertical="center"/>
    </xf>
    <xf numFmtId="4" fontId="20" fillId="0" borderId="33" xfId="0" applyNumberFormat="1" applyFont="1" applyFill="1" applyBorder="1" applyAlignment="1">
      <alignment vertical="center"/>
    </xf>
    <xf numFmtId="4" fontId="20" fillId="0" borderId="34" xfId="0" applyNumberFormat="1" applyFont="1" applyFill="1" applyBorder="1" applyAlignment="1">
      <alignment vertical="center"/>
    </xf>
    <xf numFmtId="0" fontId="20" fillId="0" borderId="7" xfId="0" applyNumberFormat="1" applyFont="1" applyFill="1" applyBorder="1" applyAlignment="1">
      <alignment vertical="center"/>
    </xf>
    <xf numFmtId="4" fontId="20" fillId="0" borderId="7" xfId="0" applyNumberFormat="1" applyFont="1" applyFill="1" applyBorder="1" applyAlignment="1">
      <alignment horizontal="justify" vertical="center" wrapText="1"/>
    </xf>
    <xf numFmtId="166" fontId="20" fillId="0" borderId="26" xfId="6" applyNumberFormat="1" applyFont="1" applyFill="1" applyBorder="1" applyAlignment="1">
      <alignment vertical="center"/>
    </xf>
    <xf numFmtId="166" fontId="21" fillId="0" borderId="7" xfId="6" applyNumberFormat="1" applyFont="1" applyFill="1" applyBorder="1" applyAlignment="1">
      <alignment horizontal="center" vertical="center" wrapText="1"/>
    </xf>
    <xf numFmtId="166" fontId="20" fillId="0" borderId="27" xfId="6" applyNumberFormat="1" applyFont="1" applyFill="1" applyBorder="1" applyAlignment="1">
      <alignment vertical="center"/>
    </xf>
    <xf numFmtId="43" fontId="20" fillId="0" borderId="12" xfId="6" applyFont="1" applyFill="1" applyBorder="1" applyAlignment="1">
      <alignment vertical="center"/>
    </xf>
    <xf numFmtId="166" fontId="20" fillId="0" borderId="7" xfId="6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vertical="center"/>
    </xf>
    <xf numFmtId="4" fontId="18" fillId="0" borderId="7" xfId="1" applyNumberFormat="1" applyFont="1" applyFill="1" applyBorder="1" applyAlignment="1">
      <alignment vertical="center" wrapText="1"/>
    </xf>
    <xf numFmtId="4" fontId="18" fillId="0" borderId="7" xfId="1" applyNumberFormat="1" applyFont="1" applyFill="1" applyBorder="1" applyAlignment="1">
      <alignment horizontal="justify" vertical="center" wrapText="1"/>
    </xf>
    <xf numFmtId="166" fontId="18" fillId="0" borderId="7" xfId="6" applyNumberFormat="1" applyFont="1" applyFill="1" applyBorder="1" applyAlignment="1">
      <alignment horizontal="center" vertical="center" wrapText="1"/>
    </xf>
    <xf numFmtId="166" fontId="14" fillId="0" borderId="7" xfId="6" applyNumberFormat="1" applyFont="1" applyFill="1" applyBorder="1"/>
    <xf numFmtId="166" fontId="14" fillId="0" borderId="27" xfId="6" applyNumberFormat="1" applyFont="1" applyFill="1" applyBorder="1"/>
    <xf numFmtId="166" fontId="14" fillId="0" borderId="12" xfId="6" applyNumberFormat="1" applyFont="1" applyFill="1" applyBorder="1"/>
    <xf numFmtId="166" fontId="14" fillId="0" borderId="26" xfId="6" applyNumberFormat="1" applyFont="1" applyFill="1" applyBorder="1"/>
    <xf numFmtId="166" fontId="18" fillId="0" borderId="7" xfId="6" applyNumberFormat="1" applyFont="1" applyFill="1" applyBorder="1" applyAlignment="1">
      <alignment horizontal="right" vertical="center" wrapText="1"/>
    </xf>
    <xf numFmtId="166" fontId="14" fillId="0" borderId="26" xfId="6" applyNumberFormat="1" applyFont="1" applyFill="1" applyBorder="1" applyAlignment="1">
      <alignment vertical="center" wrapText="1"/>
    </xf>
    <xf numFmtId="166" fontId="14" fillId="0" borderId="7" xfId="6" applyNumberFormat="1" applyFont="1" applyFill="1" applyBorder="1" applyAlignment="1">
      <alignment vertical="center" wrapText="1"/>
    </xf>
    <xf numFmtId="166" fontId="14" fillId="0" borderId="27" xfId="6" applyNumberFormat="1" applyFont="1" applyFill="1" applyBorder="1" applyAlignment="1">
      <alignment vertical="center" wrapText="1"/>
    </xf>
    <xf numFmtId="166" fontId="14" fillId="0" borderId="12" xfId="6" applyNumberFormat="1" applyFont="1" applyFill="1" applyBorder="1" applyAlignment="1">
      <alignment vertical="center" wrapText="1"/>
    </xf>
    <xf numFmtId="4" fontId="14" fillId="0" borderId="27" xfId="0" applyNumberFormat="1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vertical="center" wrapText="1"/>
    </xf>
    <xf numFmtId="4" fontId="0" fillId="2" borderId="19" xfId="0" applyNumberFormat="1" applyFont="1" applyFill="1" applyBorder="1"/>
    <xf numFmtId="4" fontId="28" fillId="2" borderId="20" xfId="0" applyNumberFormat="1" applyFont="1" applyFill="1" applyBorder="1" applyAlignment="1">
      <alignment horizontal="left" vertical="center" wrapText="1"/>
    </xf>
    <xf numFmtId="4" fontId="0" fillId="2" borderId="21" xfId="0" applyNumberFormat="1" applyFont="1" applyFill="1" applyBorder="1" applyAlignment="1">
      <alignment vertical="top"/>
    </xf>
    <xf numFmtId="4" fontId="12" fillId="2" borderId="23" xfId="0" applyNumberFormat="1" applyFont="1" applyFill="1" applyBorder="1"/>
    <xf numFmtId="166" fontId="28" fillId="2" borderId="19" xfId="6" applyNumberFormat="1" applyFont="1" applyFill="1" applyBorder="1"/>
    <xf numFmtId="166" fontId="28" fillId="2" borderId="20" xfId="6" applyNumberFormat="1" applyFont="1" applyFill="1" applyBorder="1"/>
    <xf numFmtId="166" fontId="12" fillId="2" borderId="20" xfId="0" applyNumberFormat="1" applyFont="1" applyFill="1" applyBorder="1"/>
    <xf numFmtId="166" fontId="12" fillId="2" borderId="22" xfId="0" applyNumberFormat="1" applyFont="1" applyFill="1" applyBorder="1"/>
    <xf numFmtId="166" fontId="12" fillId="2" borderId="21" xfId="0" applyNumberFormat="1" applyFont="1" applyFill="1" applyBorder="1"/>
    <xf numFmtId="4" fontId="11" fillId="0" borderId="3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vertical="center" wrapText="1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8" fillId="0" borderId="1" xfId="32" applyNumberFormat="1" applyFont="1" applyFill="1" applyBorder="1" applyAlignment="1">
      <alignment vertical="center" wrapText="1"/>
    </xf>
    <xf numFmtId="4" fontId="18" fillId="0" borderId="1" xfId="32" applyNumberFormat="1" applyFont="1" applyFill="1" applyBorder="1" applyAlignment="1">
      <alignment horizontal="justify" vertical="center" wrapText="1"/>
    </xf>
    <xf numFmtId="4" fontId="18" fillId="0" borderId="1" xfId="33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4" fontId="21" fillId="0" borderId="1" xfId="32" applyNumberFormat="1" applyFont="1" applyFill="1" applyBorder="1" applyAlignment="1">
      <alignment vertical="center" wrapText="1"/>
    </xf>
    <xf numFmtId="4" fontId="21" fillId="0" borderId="1" xfId="32" applyNumberFormat="1" applyFont="1" applyFill="1" applyBorder="1" applyAlignment="1">
      <alignment horizontal="justify" vertical="center" wrapText="1"/>
    </xf>
    <xf numFmtId="4" fontId="21" fillId="0" borderId="1" xfId="33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justify" vertical="center"/>
    </xf>
    <xf numFmtId="0" fontId="20" fillId="0" borderId="1" xfId="0" applyFont="1" applyFill="1" applyBorder="1"/>
    <xf numFmtId="0" fontId="18" fillId="0" borderId="1" xfId="0" applyFont="1" applyFill="1" applyBorder="1" applyAlignment="1">
      <alignment horizontal="center" vertical="top" wrapText="1"/>
    </xf>
    <xf numFmtId="14" fontId="18" fillId="0" borderId="1" xfId="33" applyNumberFormat="1" applyFont="1" applyFill="1" applyBorder="1" applyAlignment="1">
      <alignment horizontal="center" vertical="top" wrapText="1"/>
    </xf>
    <xf numFmtId="166" fontId="18" fillId="0" borderId="5" xfId="33" applyNumberFormat="1" applyFont="1" applyFill="1" applyBorder="1" applyAlignment="1">
      <alignment horizontal="center" vertical="center" wrapText="1"/>
    </xf>
    <xf numFmtId="0" fontId="30" fillId="0" borderId="1" xfId="0" applyFont="1" applyFill="1" applyBorder="1"/>
    <xf numFmtId="166" fontId="30" fillId="0" borderId="1" xfId="0" applyNumberFormat="1" applyFont="1" applyFill="1" applyBorder="1"/>
    <xf numFmtId="0" fontId="30" fillId="0" borderId="0" xfId="0" applyFont="1" applyFill="1"/>
    <xf numFmtId="14" fontId="18" fillId="0" borderId="2" xfId="33" applyNumberFormat="1" applyFont="1" applyFill="1" applyBorder="1" applyAlignment="1">
      <alignment horizontal="center" vertical="top" wrapText="1"/>
    </xf>
    <xf numFmtId="2" fontId="30" fillId="0" borderId="3" xfId="0" applyNumberFormat="1" applyFont="1" applyFill="1" applyBorder="1" applyAlignment="1"/>
    <xf numFmtId="2" fontId="30" fillId="0" borderId="1" xfId="0" applyNumberFormat="1" applyFont="1" applyFill="1" applyBorder="1" applyAlignment="1"/>
    <xf numFmtId="167" fontId="31" fillId="0" borderId="1" xfId="0" applyNumberFormat="1" applyFont="1" applyFill="1" applyBorder="1" applyAlignment="1">
      <alignment horizontal="right"/>
    </xf>
    <xf numFmtId="17" fontId="14" fillId="0" borderId="1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vertical="top" wrapText="1"/>
    </xf>
    <xf numFmtId="0" fontId="18" fillId="0" borderId="2" xfId="33" applyNumberFormat="1" applyFont="1" applyFill="1" applyBorder="1" applyAlignment="1">
      <alignment horizontal="center" vertical="top" wrapText="1"/>
    </xf>
    <xf numFmtId="166" fontId="18" fillId="0" borderId="1" xfId="33" applyNumberFormat="1" applyFont="1" applyFill="1" applyBorder="1" applyAlignment="1">
      <alignment horizontal="center" vertical="center" wrapText="1"/>
    </xf>
    <xf numFmtId="0" fontId="30" fillId="0" borderId="3" xfId="0" applyFont="1" applyFill="1" applyBorder="1"/>
    <xf numFmtId="0" fontId="14" fillId="0" borderId="1" xfId="0" applyFont="1" applyBorder="1" applyAlignment="1">
      <alignment horizontal="right" wrapText="1"/>
    </xf>
    <xf numFmtId="2" fontId="30" fillId="0" borderId="3" xfId="0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horizontal="right"/>
    </xf>
    <xf numFmtId="0" fontId="18" fillId="0" borderId="7" xfId="0" applyFont="1" applyFill="1" applyBorder="1" applyAlignment="1">
      <alignment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18" fillId="0" borderId="1" xfId="33" applyNumberFormat="1" applyFont="1" applyFill="1" applyBorder="1" applyAlignment="1">
      <alignment horizontal="center" vertical="top" wrapText="1"/>
    </xf>
    <xf numFmtId="17" fontId="14" fillId="0" borderId="1" xfId="0" applyNumberFormat="1" applyFont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right"/>
    </xf>
    <xf numFmtId="2" fontId="30" fillId="0" borderId="3" xfId="0" applyNumberFormat="1" applyFont="1" applyFill="1" applyBorder="1" applyAlignment="1">
      <alignment horizontal="right" wrapText="1"/>
    </xf>
    <xf numFmtId="2" fontId="30" fillId="0" borderId="1" xfId="0" applyNumberFormat="1" applyFont="1" applyFill="1" applyBorder="1" applyAlignment="1">
      <alignment horizontal="right" wrapText="1"/>
    </xf>
    <xf numFmtId="1" fontId="30" fillId="0" borderId="3" xfId="0" applyNumberFormat="1" applyFont="1" applyFill="1" applyBorder="1" applyAlignment="1">
      <alignment horizontal="right" wrapText="1"/>
    </xf>
    <xf numFmtId="1" fontId="30" fillId="0" borderId="1" xfId="0" applyNumberFormat="1" applyFont="1" applyFill="1" applyBorder="1" applyAlignment="1">
      <alignment horizontal="right" wrapText="1"/>
    </xf>
    <xf numFmtId="166" fontId="18" fillId="0" borderId="5" xfId="33" applyNumberFormat="1" applyFont="1" applyFill="1" applyBorder="1" applyAlignment="1">
      <alignment horizontal="right" wrapText="1"/>
    </xf>
    <xf numFmtId="0" fontId="30" fillId="0" borderId="5" xfId="0" applyFont="1" applyFill="1" applyBorder="1" applyAlignment="1">
      <alignment horizontal="right"/>
    </xf>
    <xf numFmtId="166" fontId="30" fillId="0" borderId="5" xfId="0" applyNumberFormat="1" applyFont="1" applyFill="1" applyBorder="1" applyAlignment="1">
      <alignment horizontal="right"/>
    </xf>
    <xf numFmtId="0" fontId="30" fillId="0" borderId="1" xfId="0" applyFont="1" applyFill="1" applyBorder="1" applyAlignment="1">
      <alignment horizontal="right"/>
    </xf>
    <xf numFmtId="166" fontId="21" fillId="0" borderId="1" xfId="33" applyNumberFormat="1" applyFont="1" applyFill="1" applyBorder="1" applyAlignment="1">
      <alignment horizontal="right" wrapText="1"/>
    </xf>
    <xf numFmtId="0" fontId="18" fillId="0" borderId="1" xfId="32" applyFont="1" applyFill="1" applyBorder="1" applyAlignment="1">
      <alignment vertical="center" wrapText="1"/>
    </xf>
    <xf numFmtId="0" fontId="18" fillId="0" borderId="1" xfId="32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" xfId="33" applyNumberFormat="1" applyFont="1" applyFill="1" applyBorder="1" applyAlignment="1">
      <alignment horizontal="center" vertical="center" wrapText="1"/>
    </xf>
    <xf numFmtId="164" fontId="18" fillId="0" borderId="2" xfId="33" applyNumberFormat="1" applyFont="1" applyFill="1" applyBorder="1" applyAlignment="1">
      <alignment horizontal="center" vertical="center" wrapText="1"/>
    </xf>
    <xf numFmtId="168" fontId="30" fillId="0" borderId="1" xfId="0" applyNumberFormat="1" applyFont="1" applyFill="1" applyBorder="1" applyAlignment="1">
      <alignment horizontal="right"/>
    </xf>
    <xf numFmtId="166" fontId="30" fillId="0" borderId="1" xfId="0" applyNumberFormat="1" applyFont="1" applyFill="1" applyBorder="1" applyAlignment="1">
      <alignment horizontal="right"/>
    </xf>
    <xf numFmtId="49" fontId="14" fillId="0" borderId="1" xfId="0" applyNumberFormat="1" applyFont="1" applyFill="1" applyBorder="1"/>
    <xf numFmtId="165" fontId="14" fillId="0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/>
    <xf numFmtId="0" fontId="26" fillId="2" borderId="1" xfId="0" applyFont="1" applyFill="1" applyBorder="1" applyAlignment="1">
      <alignment horizontal="left"/>
    </xf>
    <xf numFmtId="4" fontId="29" fillId="2" borderId="1" xfId="32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/>
    </xf>
    <xf numFmtId="4" fontId="29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justify" vertical="center"/>
    </xf>
    <xf numFmtId="0" fontId="9" fillId="2" borderId="1" xfId="0" applyFont="1" applyFill="1" applyBorder="1"/>
    <xf numFmtId="0" fontId="14" fillId="2" borderId="1" xfId="0" applyFont="1" applyFill="1" applyBorder="1" applyAlignment="1">
      <alignment horizontal="justify" vertic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justify" vertical="center"/>
    </xf>
    <xf numFmtId="0" fontId="8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horizontal="justify" vertical="center" wrapText="1"/>
    </xf>
    <xf numFmtId="49" fontId="20" fillId="2" borderId="1" xfId="0" applyNumberFormat="1" applyFont="1" applyFill="1" applyBorder="1"/>
    <xf numFmtId="0" fontId="20" fillId="2" borderId="1" xfId="0" applyFont="1" applyFill="1" applyBorder="1" applyAlignment="1">
      <alignment wrapText="1"/>
    </xf>
    <xf numFmtId="0" fontId="20" fillId="2" borderId="1" xfId="0" applyFont="1" applyFill="1" applyBorder="1"/>
    <xf numFmtId="0" fontId="20" fillId="2" borderId="1" xfId="18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4" fillId="0" borderId="25" xfId="0" applyFont="1" applyFill="1" applyBorder="1" applyAlignment="1">
      <alignment vertical="top" wrapText="1"/>
    </xf>
    <xf numFmtId="43" fontId="14" fillId="0" borderId="1" xfId="6" applyFont="1" applyFill="1" applyBorder="1" applyAlignment="1">
      <alignment vertical="center"/>
    </xf>
    <xf numFmtId="0" fontId="14" fillId="0" borderId="1" xfId="0" applyFont="1" applyFill="1" applyBorder="1" applyAlignment="1"/>
    <xf numFmtId="43" fontId="26" fillId="2" borderId="1" xfId="6" applyFont="1" applyFill="1" applyBorder="1" applyAlignment="1">
      <alignment horizontal="center"/>
    </xf>
    <xf numFmtId="43" fontId="18" fillId="0" borderId="1" xfId="6" applyFont="1" applyFill="1" applyBorder="1" applyAlignment="1">
      <alignment vertical="center" wrapText="1"/>
    </xf>
    <xf numFmtId="49" fontId="12" fillId="2" borderId="1" xfId="0" applyNumberFormat="1" applyFont="1" applyFill="1" applyBorder="1"/>
    <xf numFmtId="0" fontId="12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43" fontId="12" fillId="2" borderId="1" xfId="6" applyFont="1" applyFill="1" applyBorder="1" applyAlignment="1">
      <alignment vertical="center"/>
    </xf>
    <xf numFmtId="0" fontId="16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43" fontId="26" fillId="2" borderId="1" xfId="0" applyNumberFormat="1" applyFont="1" applyFill="1" applyBorder="1"/>
    <xf numFmtId="0" fontId="14" fillId="0" borderId="7" xfId="0" applyFont="1" applyFill="1" applyBorder="1" applyAlignment="1"/>
    <xf numFmtId="0" fontId="18" fillId="0" borderId="1" xfId="0" applyFont="1" applyBorder="1" applyAlignment="1">
      <alignment wrapText="1"/>
    </xf>
    <xf numFmtId="43" fontId="30" fillId="0" borderId="1" xfId="6" applyFont="1" applyFill="1" applyBorder="1" applyAlignment="1">
      <alignment horizontal="right"/>
    </xf>
    <xf numFmtId="0" fontId="18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/>
    </xf>
    <xf numFmtId="167" fontId="18" fillId="0" borderId="1" xfId="0" applyNumberFormat="1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/>
    </xf>
    <xf numFmtId="43" fontId="18" fillId="0" borderId="1" xfId="6" applyFont="1" applyFill="1" applyBorder="1" applyAlignment="1">
      <alignment horizontal="justify" vertical="center"/>
    </xf>
    <xf numFmtId="167" fontId="18" fillId="0" borderId="1" xfId="0" applyNumberFormat="1" applyFont="1" applyFill="1" applyBorder="1" applyAlignment="1">
      <alignment horizontal="justify" vertical="center"/>
    </xf>
    <xf numFmtId="167" fontId="22" fillId="0" borderId="35" xfId="34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justify" vertical="center" wrapText="1"/>
    </xf>
    <xf numFmtId="0" fontId="18" fillId="0" borderId="5" xfId="0" applyFont="1" applyFill="1" applyBorder="1" applyAlignment="1">
      <alignment horizontal="justify" vertical="center"/>
    </xf>
    <xf numFmtId="0" fontId="18" fillId="0" borderId="5" xfId="0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right" vertical="center"/>
    </xf>
    <xf numFmtId="43" fontId="18" fillId="0" borderId="1" xfId="6" applyFont="1" applyFill="1" applyBorder="1" applyAlignment="1">
      <alignment horizontal="justify" vertical="center" wrapText="1"/>
    </xf>
    <xf numFmtId="170" fontId="18" fillId="0" borderId="1" xfId="6" applyNumberFormat="1" applyFont="1" applyFill="1" applyBorder="1" applyAlignment="1">
      <alignment horizontal="justify" vertical="center" wrapText="1"/>
    </xf>
    <xf numFmtId="43" fontId="18" fillId="0" borderId="1" xfId="6" applyFont="1" applyFill="1" applyBorder="1" applyAlignment="1">
      <alignment horizontal="right"/>
    </xf>
    <xf numFmtId="171" fontId="14" fillId="0" borderId="0" xfId="7" applyNumberFormat="1" applyFont="1" applyFill="1"/>
    <xf numFmtId="166" fontId="19" fillId="0" borderId="0" xfId="0" applyNumberFormat="1" applyFont="1" applyFill="1"/>
    <xf numFmtId="166" fontId="0" fillId="0" borderId="0" xfId="0" applyNumberFormat="1" applyFill="1" applyAlignment="1">
      <alignment vertical="center"/>
    </xf>
    <xf numFmtId="166" fontId="21" fillId="0" borderId="26" xfId="2" applyNumberFormat="1" applyFont="1" applyFill="1" applyBorder="1" applyAlignment="1">
      <alignment horizontal="center" vertical="center" wrapText="1"/>
    </xf>
    <xf numFmtId="166" fontId="21" fillId="0" borderId="7" xfId="2" applyNumberFormat="1" applyFont="1" applyFill="1" applyBorder="1" applyAlignment="1">
      <alignment horizontal="center" vertical="center" wrapText="1"/>
    </xf>
    <xf numFmtId="166" fontId="20" fillId="0" borderId="7" xfId="0" applyNumberFormat="1" applyFont="1" applyFill="1" applyBorder="1"/>
    <xf numFmtId="166" fontId="20" fillId="0" borderId="27" xfId="0" applyNumberFormat="1" applyFont="1" applyFill="1" applyBorder="1"/>
    <xf numFmtId="166" fontId="14" fillId="0" borderId="14" xfId="0" applyNumberFormat="1" applyFont="1" applyFill="1" applyBorder="1" applyAlignment="1">
      <alignment vertical="center"/>
    </xf>
    <xf numFmtId="166" fontId="18" fillId="0" borderId="1" xfId="2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/>
    <xf numFmtId="166" fontId="14" fillId="0" borderId="15" xfId="0" applyNumberFormat="1" applyFont="1" applyFill="1" applyBorder="1"/>
    <xf numFmtId="166" fontId="14" fillId="0" borderId="2" xfId="0" applyNumberFormat="1" applyFont="1" applyFill="1" applyBorder="1"/>
    <xf numFmtId="166" fontId="14" fillId="0" borderId="14" xfId="0" applyNumberFormat="1" applyFont="1" applyFill="1" applyBorder="1"/>
    <xf numFmtId="166" fontId="21" fillId="0" borderId="14" xfId="2" applyNumberFormat="1" applyFont="1" applyFill="1" applyBorder="1" applyAlignment="1">
      <alignment horizontal="center" vertical="center" wrapText="1"/>
    </xf>
    <xf numFmtId="166" fontId="21" fillId="0" borderId="1" xfId="2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/>
    <xf numFmtId="166" fontId="20" fillId="0" borderId="15" xfId="0" applyNumberFormat="1" applyFont="1" applyFill="1" applyBorder="1"/>
    <xf numFmtId="166" fontId="20" fillId="0" borderId="2" xfId="0" applyNumberFormat="1" applyFont="1" applyFill="1" applyBorder="1"/>
    <xf numFmtId="166" fontId="18" fillId="0" borderId="1" xfId="0" applyNumberFormat="1" applyFont="1" applyFill="1" applyBorder="1" applyAlignment="1">
      <alignment horizontal="right" vertical="center" wrapText="1"/>
    </xf>
    <xf numFmtId="166" fontId="20" fillId="0" borderId="14" xfId="0" applyNumberFormat="1" applyFont="1" applyFill="1" applyBorder="1"/>
    <xf numFmtId="166" fontId="21" fillId="0" borderId="1" xfId="6" applyNumberFormat="1" applyFont="1" applyFill="1" applyBorder="1" applyAlignment="1">
      <alignment horizontal="right" vertical="center" wrapText="1"/>
    </xf>
    <xf numFmtId="166" fontId="14" fillId="0" borderId="17" xfId="0" applyNumberFormat="1" applyFont="1" applyFill="1" applyBorder="1" applyAlignment="1">
      <alignment vertical="center"/>
    </xf>
    <xf numFmtId="166" fontId="18" fillId="0" borderId="5" xfId="2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/>
    <xf numFmtId="166" fontId="14" fillId="0" borderId="18" xfId="0" applyNumberFormat="1" applyFont="1" applyFill="1" applyBorder="1"/>
    <xf numFmtId="166" fontId="21" fillId="0" borderId="19" xfId="0" applyNumberFormat="1" applyFont="1" applyFill="1" applyBorder="1"/>
    <xf numFmtId="166" fontId="20" fillId="0" borderId="20" xfId="0" applyNumberFormat="1" applyFont="1" applyFill="1" applyBorder="1"/>
    <xf numFmtId="166" fontId="20" fillId="0" borderId="22" xfId="0" applyNumberFormat="1" applyFont="1" applyFill="1" applyBorder="1"/>
    <xf numFmtId="166" fontId="20" fillId="0" borderId="21" xfId="6" applyNumberFormat="1" applyFont="1" applyFill="1" applyBorder="1"/>
    <xf numFmtId="166" fontId="13" fillId="0" borderId="0" xfId="0" applyNumberFormat="1" applyFont="1" applyFill="1"/>
    <xf numFmtId="0" fontId="34" fillId="0" borderId="1" xfId="0" applyFont="1" applyFill="1" applyBorder="1" applyAlignment="1">
      <alignment vertical="center" wrapText="1"/>
    </xf>
    <xf numFmtId="43" fontId="13" fillId="0" borderId="0" xfId="0" applyNumberFormat="1" applyFont="1" applyFill="1"/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/>
    <xf numFmtId="0" fontId="30" fillId="2" borderId="1" xfId="0" applyFont="1" applyFill="1" applyBorder="1" applyAlignment="1">
      <alignment horizontal="right"/>
    </xf>
    <xf numFmtId="4" fontId="20" fillId="0" borderId="1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>
      <alignment vertical="center"/>
    </xf>
    <xf numFmtId="4" fontId="35" fillId="0" borderId="1" xfId="0" applyNumberFormat="1" applyFont="1" applyFill="1" applyBorder="1" applyAlignment="1">
      <alignment wrapText="1"/>
    </xf>
    <xf numFmtId="4" fontId="21" fillId="0" borderId="1" xfId="0" applyNumberFormat="1" applyFont="1" applyFill="1" applyBorder="1" applyAlignment="1">
      <alignment horizontal="left" vertical="center" wrapText="1"/>
    </xf>
    <xf numFmtId="4" fontId="35" fillId="0" borderId="1" xfId="0" applyNumberFormat="1" applyFont="1" applyFill="1" applyBorder="1"/>
    <xf numFmtId="43" fontId="18" fillId="0" borderId="1" xfId="6" applyFont="1" applyFill="1" applyBorder="1" applyAlignment="1">
      <alignment horizontal="left" vertical="top" wrapText="1"/>
    </xf>
    <xf numFmtId="4" fontId="20" fillId="0" borderId="7" xfId="0" applyNumberFormat="1" applyFont="1" applyFill="1" applyBorder="1" applyAlignment="1">
      <alignment wrapText="1"/>
    </xf>
    <xf numFmtId="4" fontId="20" fillId="0" borderId="7" xfId="0" applyNumberFormat="1" applyFont="1" applyFill="1" applyBorder="1" applyAlignment="1">
      <alignment vertical="center"/>
    </xf>
    <xf numFmtId="4" fontId="14" fillId="0" borderId="1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horizontal="justify" vertical="center" wrapText="1"/>
    </xf>
    <xf numFmtId="171" fontId="14" fillId="0" borderId="1" xfId="7" applyNumberFormat="1" applyFont="1" applyFill="1" applyBorder="1" applyAlignment="1">
      <alignment vertical="center" wrapText="1"/>
    </xf>
    <xf numFmtId="4" fontId="14" fillId="0" borderId="3" xfId="0" applyNumberFormat="1" applyFont="1" applyFill="1" applyBorder="1" applyAlignment="1">
      <alignment wrapText="1"/>
    </xf>
    <xf numFmtId="4" fontId="20" fillId="0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Fill="1" applyBorder="1" applyAlignment="1">
      <alignment horizontal="left" vertical="center" wrapText="1"/>
    </xf>
    <xf numFmtId="0" fontId="20" fillId="0" borderId="7" xfId="0" applyNumberFormat="1" applyFont="1" applyFill="1" applyBorder="1"/>
    <xf numFmtId="9" fontId="14" fillId="0" borderId="1" xfId="7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166" fontId="14" fillId="0" borderId="1" xfId="6" applyNumberFormat="1" applyFont="1" applyBorder="1" applyAlignment="1">
      <alignment vertical="center"/>
    </xf>
    <xf numFmtId="4" fontId="20" fillId="0" borderId="5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vertical="center"/>
    </xf>
    <xf numFmtId="4" fontId="23" fillId="0" borderId="1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wrapText="1"/>
    </xf>
    <xf numFmtId="4" fontId="14" fillId="0" borderId="7" xfId="0" applyNumberFormat="1" applyFont="1" applyFill="1" applyBorder="1" applyAlignment="1">
      <alignment vertical="center"/>
    </xf>
    <xf numFmtId="4" fontId="14" fillId="0" borderId="38" xfId="0" applyNumberFormat="1" applyFont="1" applyFill="1" applyBorder="1" applyAlignment="1">
      <alignment wrapText="1"/>
    </xf>
    <xf numFmtId="4" fontId="14" fillId="0" borderId="4" xfId="0" applyNumberFormat="1" applyFont="1" applyFill="1" applyBorder="1" applyAlignment="1">
      <alignment vertical="center"/>
    </xf>
    <xf numFmtId="9" fontId="14" fillId="0" borderId="4" xfId="7" applyFont="1" applyFill="1" applyBorder="1" applyAlignment="1">
      <alignment vertical="center" wrapText="1"/>
    </xf>
    <xf numFmtId="4" fontId="23" fillId="0" borderId="4" xfId="0" applyNumberFormat="1" applyFont="1" applyFill="1" applyBorder="1" applyAlignment="1">
      <alignment vertical="center"/>
    </xf>
    <xf numFmtId="4" fontId="23" fillId="0" borderId="4" xfId="0" applyNumberFormat="1" applyFont="1" applyFill="1" applyBorder="1" applyAlignment="1">
      <alignment horizontal="center" vertical="center"/>
    </xf>
    <xf numFmtId="4" fontId="14" fillId="0" borderId="9" xfId="0" applyNumberFormat="1" applyFont="1" applyFill="1" applyBorder="1" applyAlignment="1">
      <alignment wrapText="1"/>
    </xf>
    <xf numFmtId="43" fontId="14" fillId="0" borderId="1" xfId="6" applyFont="1" applyFill="1" applyBorder="1" applyAlignment="1">
      <alignment wrapText="1"/>
    </xf>
    <xf numFmtId="10" fontId="14" fillId="0" borderId="1" xfId="6" applyNumberFormat="1" applyFont="1" applyFill="1" applyBorder="1" applyAlignment="1">
      <alignment vertical="center"/>
    </xf>
    <xf numFmtId="4" fontId="33" fillId="3" borderId="1" xfId="32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4" fontId="21" fillId="0" borderId="5" xfId="0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vertical="center"/>
    </xf>
    <xf numFmtId="0" fontId="36" fillId="0" borderId="0" xfId="0" applyFont="1" applyFill="1" applyAlignment="1">
      <alignment wrapText="1"/>
    </xf>
    <xf numFmtId="0" fontId="14" fillId="0" borderId="0" xfId="0" applyFont="1"/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20" fillId="0" borderId="5" xfId="0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5" xfId="0" applyNumberFormat="1" applyFont="1" applyFill="1" applyBorder="1" applyAlignment="1">
      <alignment vertical="center"/>
    </xf>
    <xf numFmtId="171" fontId="14" fillId="0" borderId="5" xfId="7" applyNumberFormat="1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wrapText="1"/>
    </xf>
    <xf numFmtId="0" fontId="14" fillId="0" borderId="2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0" fontId="14" fillId="0" borderId="1" xfId="0" applyNumberFormat="1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justify" vertical="center" wrapText="1"/>
    </xf>
    <xf numFmtId="0" fontId="14" fillId="3" borderId="1" xfId="18" applyFont="1" applyFill="1" applyBorder="1" applyAlignment="1">
      <alignment horizontal="justify" vertical="center" wrapText="1"/>
    </xf>
    <xf numFmtId="167" fontId="18" fillId="3" borderId="1" xfId="0" applyNumberFormat="1" applyFont="1" applyFill="1" applyBorder="1" applyAlignment="1">
      <alignment horizontal="justify" vertical="center" wrapText="1" shrinkToFit="1"/>
    </xf>
    <xf numFmtId="167" fontId="18" fillId="3" borderId="1" xfId="0" applyNumberFormat="1" applyFont="1" applyFill="1" applyBorder="1" applyAlignment="1">
      <alignment horizontal="justify" vertical="center"/>
    </xf>
    <xf numFmtId="0" fontId="14" fillId="0" borderId="1" xfId="18" applyFont="1" applyFill="1" applyBorder="1" applyAlignment="1">
      <alignment horizontal="justify" vertical="center" wrapText="1"/>
    </xf>
    <xf numFmtId="0" fontId="14" fillId="0" borderId="1" xfId="18" applyFont="1" applyFill="1" applyBorder="1" applyAlignment="1">
      <alignment horizontal="justify" vertical="center"/>
    </xf>
    <xf numFmtId="0" fontId="14" fillId="3" borderId="1" xfId="18" applyFont="1" applyFill="1" applyBorder="1" applyAlignment="1">
      <alignment horizontal="justify" vertical="center"/>
    </xf>
    <xf numFmtId="43" fontId="18" fillId="0" borderId="2" xfId="6" applyFont="1" applyFill="1" applyBorder="1" applyAlignment="1">
      <alignment horizontal="justify" vertical="center" wrapText="1"/>
    </xf>
    <xf numFmtId="43" fontId="18" fillId="0" borderId="4" xfId="6" applyFont="1" applyFill="1" applyBorder="1" applyAlignment="1">
      <alignment horizontal="right" vertical="center" wrapText="1"/>
    </xf>
    <xf numFmtId="170" fontId="18" fillId="0" borderId="2" xfId="6" applyNumberFormat="1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justify" vertical="center" wrapText="1"/>
    </xf>
    <xf numFmtId="43" fontId="30" fillId="0" borderId="1" xfId="6" applyFont="1" applyFill="1" applyBorder="1" applyAlignment="1">
      <alignment vertical="center"/>
    </xf>
    <xf numFmtId="43" fontId="30" fillId="0" borderId="7" xfId="6" applyFont="1" applyFill="1" applyBorder="1" applyAlignment="1">
      <alignment vertical="center"/>
    </xf>
    <xf numFmtId="43" fontId="18" fillId="0" borderId="2" xfId="6" applyFont="1" applyFill="1" applyBorder="1" applyAlignment="1">
      <alignment vertical="center" wrapText="1"/>
    </xf>
    <xf numFmtId="43" fontId="18" fillId="0" borderId="1" xfId="6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vertical="top" wrapText="1"/>
    </xf>
    <xf numFmtId="0" fontId="14" fillId="0" borderId="39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right" wrapText="1"/>
    </xf>
    <xf numFmtId="0" fontId="36" fillId="0" borderId="37" xfId="0" applyFont="1" applyFill="1" applyBorder="1" applyAlignment="1">
      <alignment horizontal="center" vertical="center" wrapText="1"/>
    </xf>
    <xf numFmtId="4" fontId="36" fillId="0" borderId="1" xfId="0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/>
    <xf numFmtId="167" fontId="18" fillId="0" borderId="1" xfId="0" applyNumberFormat="1" applyFont="1" applyFill="1" applyBorder="1" applyAlignment="1">
      <alignment horizontal="center" wrapText="1"/>
    </xf>
    <xf numFmtId="0" fontId="23" fillId="0" borderId="1" xfId="0" applyFont="1" applyFill="1" applyBorder="1" applyAlignment="1">
      <alignment vertical="justify" wrapText="1"/>
    </xf>
    <xf numFmtId="0" fontId="14" fillId="0" borderId="1" xfId="0" applyFont="1" applyFill="1" applyBorder="1" applyAlignment="1">
      <alignment horizontal="justify"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Fill="1" applyBorder="1" applyAlignment="1">
      <alignment horizontal="justify" vertical="center"/>
    </xf>
    <xf numFmtId="0" fontId="18" fillId="3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 shrinkToFit="1"/>
    </xf>
    <xf numFmtId="0" fontId="18" fillId="2" borderId="1" xfId="32" applyFont="1" applyFill="1" applyBorder="1" applyAlignment="1">
      <alignment horizontal="justify" vertical="center" wrapText="1"/>
    </xf>
    <xf numFmtId="4" fontId="20" fillId="2" borderId="1" xfId="0" applyNumberFormat="1" applyFont="1" applyFill="1" applyBorder="1" applyAlignment="1">
      <alignment vertical="center"/>
    </xf>
    <xf numFmtId="43" fontId="18" fillId="2" borderId="1" xfId="6" applyFont="1" applyFill="1" applyBorder="1" applyAlignment="1">
      <alignment horizontal="right"/>
    </xf>
    <xf numFmtId="0" fontId="20" fillId="0" borderId="1" xfId="0" applyFont="1" applyFill="1" applyBorder="1" applyAlignment="1">
      <alignment horizontal="justify" vertical="center"/>
    </xf>
    <xf numFmtId="0" fontId="14" fillId="3" borderId="1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35" fillId="0" borderId="0" xfId="0" applyFont="1"/>
    <xf numFmtId="10" fontId="18" fillId="0" borderId="1" xfId="11" applyNumberFormat="1" applyFont="1" applyFill="1" applyBorder="1" applyAlignment="1">
      <alignment horizontal="right" wrapText="1"/>
    </xf>
    <xf numFmtId="43" fontId="18" fillId="0" borderId="1" xfId="11" applyFont="1" applyFill="1" applyBorder="1" applyAlignment="1">
      <alignment horizontal="left" wrapText="1"/>
    </xf>
    <xf numFmtId="0" fontId="18" fillId="0" borderId="23" xfId="0" applyFont="1" applyFill="1" applyBorder="1" applyAlignment="1">
      <alignment horizontal="right" vertical="top" wrapText="1"/>
    </xf>
    <xf numFmtId="4" fontId="18" fillId="0" borderId="1" xfId="0" applyNumberFormat="1" applyFont="1" applyFill="1" applyBorder="1" applyAlignment="1">
      <alignment horizontal="right" vertical="top" wrapText="1"/>
    </xf>
    <xf numFmtId="0" fontId="18" fillId="0" borderId="39" xfId="0" applyFont="1" applyFill="1" applyBorder="1" applyAlignment="1">
      <alignment horizontal="right" vertical="top" wrapText="1"/>
    </xf>
    <xf numFmtId="43" fontId="18" fillId="0" borderId="1" xfId="6" applyFont="1" applyFill="1" applyBorder="1" applyAlignment="1">
      <alignment horizontal="right" vertical="center"/>
    </xf>
    <xf numFmtId="10" fontId="18" fillId="0" borderId="1" xfId="11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27" xfId="0" applyNumberFormat="1" applyFont="1" applyFill="1" applyBorder="1" applyAlignment="1">
      <alignment horizontal="center" vertical="center" wrapText="1"/>
    </xf>
    <xf numFmtId="4" fontId="14" fillId="0" borderId="33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4" fontId="10" fillId="2" borderId="28" xfId="0" applyNumberFormat="1" applyFont="1" applyFill="1" applyBorder="1" applyAlignment="1">
      <alignment horizontal="center" vertical="center"/>
    </xf>
    <xf numFmtId="4" fontId="10" fillId="2" borderId="29" xfId="0" applyNumberFormat="1" applyFont="1" applyFill="1" applyBorder="1" applyAlignment="1">
      <alignment horizontal="center" vertical="center"/>
    </xf>
    <xf numFmtId="4" fontId="10" fillId="2" borderId="23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" fontId="10" fillId="2" borderId="28" xfId="0" applyNumberFormat="1" applyFont="1" applyFill="1" applyBorder="1" applyAlignment="1">
      <alignment horizontal="center"/>
    </xf>
    <xf numFmtId="4" fontId="10" fillId="2" borderId="29" xfId="0" applyNumberFormat="1" applyFont="1" applyFill="1" applyBorder="1" applyAlignment="1">
      <alignment horizontal="center"/>
    </xf>
    <xf numFmtId="4" fontId="10" fillId="2" borderId="23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18" fillId="0" borderId="5" xfId="1" applyNumberFormat="1" applyFont="1" applyFill="1" applyBorder="1" applyAlignment="1">
      <alignment horizontal="center" vertical="center" wrapText="1"/>
    </xf>
    <xf numFmtId="4" fontId="18" fillId="0" borderId="7" xfId="1" applyNumberFormat="1" applyFont="1" applyFill="1" applyBorder="1" applyAlignment="1">
      <alignment horizontal="center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 wrapText="1"/>
    </xf>
    <xf numFmtId="4" fontId="14" fillId="0" borderId="33" xfId="0" applyNumberFormat="1" applyFont="1" applyFill="1" applyBorder="1" applyAlignment="1">
      <alignment horizontal="center" vertical="top" wrapText="1"/>
    </xf>
    <xf numFmtId="4" fontId="14" fillId="0" borderId="25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/>
    </xf>
    <xf numFmtId="4" fontId="23" fillId="0" borderId="5" xfId="0" applyNumberFormat="1" applyFont="1" applyFill="1" applyBorder="1" applyAlignment="1">
      <alignment horizontal="center" vertical="center" wrapText="1"/>
    </xf>
    <xf numFmtId="4" fontId="23" fillId="0" borderId="4" xfId="0" applyNumberFormat="1" applyFont="1" applyFill="1" applyBorder="1" applyAlignment="1">
      <alignment horizontal="center" vertical="center" wrapText="1"/>
    </xf>
    <xf numFmtId="4" fontId="20" fillId="0" borderId="5" xfId="0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/>
    </xf>
    <xf numFmtId="4" fontId="20" fillId="0" borderId="6" xfId="0" applyNumberFormat="1" applyFont="1" applyFill="1" applyBorder="1" applyAlignment="1">
      <alignment horizontal="center"/>
    </xf>
    <xf numFmtId="4" fontId="20" fillId="0" borderId="36" xfId="0" applyNumberFormat="1" applyFont="1" applyFill="1" applyBorder="1" applyAlignment="1">
      <alignment horizontal="center"/>
    </xf>
    <xf numFmtId="4" fontId="20" fillId="0" borderId="9" xfId="0" applyNumberFormat="1" applyFont="1" applyFill="1" applyBorder="1" applyAlignment="1">
      <alignment horizontal="center"/>
    </xf>
    <xf numFmtId="4" fontId="20" fillId="0" borderId="3" xfId="0" applyNumberFormat="1" applyFont="1" applyFill="1" applyBorder="1" applyAlignment="1">
      <alignment horizontal="center"/>
    </xf>
    <xf numFmtId="4" fontId="23" fillId="0" borderId="5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" fontId="23" fillId="0" borderId="5" xfId="0" applyNumberFormat="1" applyFont="1" applyFill="1" applyBorder="1" applyAlignment="1">
      <alignment vertical="top" wrapText="1"/>
    </xf>
    <xf numFmtId="4" fontId="23" fillId="0" borderId="7" xfId="0" applyNumberFormat="1" applyFont="1" applyFill="1" applyBorder="1" applyAlignment="1">
      <alignment vertical="top" wrapText="1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0" fontId="27" fillId="0" borderId="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4" fontId="18" fillId="0" borderId="5" xfId="32" applyNumberFormat="1" applyFont="1" applyFill="1" applyBorder="1" applyAlignment="1">
      <alignment horizontal="center" vertical="center" wrapText="1"/>
    </xf>
    <xf numFmtId="4" fontId="18" fillId="0" borderId="7" xfId="32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 vertical="center" wrapText="1"/>
    </xf>
    <xf numFmtId="166" fontId="20" fillId="0" borderId="12" xfId="0" applyNumberFormat="1" applyFont="1" applyFill="1" applyBorder="1"/>
  </cellXfs>
  <cellStyles count="35">
    <cellStyle name="Excel Built-in Normal" xfId="34"/>
    <cellStyle name="Обычный" xfId="0" builtinId="0"/>
    <cellStyle name="Обычный 2" xfId="1"/>
    <cellStyle name="Обычный 2 2" xfId="8"/>
    <cellStyle name="Обычный 2 2 2" xfId="26"/>
    <cellStyle name="Обычный 2 3" xfId="14"/>
    <cellStyle name="Обычный 2 3 2" xfId="29"/>
    <cellStyle name="Обычный 2 4" xfId="19"/>
    <cellStyle name="Обычный 2 5" xfId="32"/>
    <cellStyle name="Обычный 3" xfId="3"/>
    <cellStyle name="Обычный 3 2" xfId="9"/>
    <cellStyle name="Обычный 3 2 2" xfId="27"/>
    <cellStyle name="Обычный 3 3" xfId="15"/>
    <cellStyle name="Обычный 3 3 2" xfId="30"/>
    <cellStyle name="Обычный 3 4" xfId="21"/>
    <cellStyle name="Обычный 4" xfId="4"/>
    <cellStyle name="Обычный 4 2" xfId="10"/>
    <cellStyle name="Обычный 4 2 2" xfId="28"/>
    <cellStyle name="Обычный 4 3" xfId="16"/>
    <cellStyle name="Обычный 4 3 2" xfId="31"/>
    <cellStyle name="Обычный 4 4" xfId="22"/>
    <cellStyle name="Обычный 5" xfId="18"/>
    <cellStyle name="Обычный 6" xfId="17"/>
    <cellStyle name="Процентный" xfId="7" builtinId="5"/>
    <cellStyle name="Процентный 2" xfId="25"/>
    <cellStyle name="Финансовый" xfId="6" builtinId="3"/>
    <cellStyle name="Финансовый 2" xfId="2"/>
    <cellStyle name="Финансовый 2 2" xfId="12"/>
    <cellStyle name="Финансовый 2 3" xfId="20"/>
    <cellStyle name="Финансовый 2 4" xfId="33"/>
    <cellStyle name="Финансовый 3" xfId="5"/>
    <cellStyle name="Финансовый 3 2" xfId="13"/>
    <cellStyle name="Финансовый 3 3" xfId="23"/>
    <cellStyle name="Финансовый 4" xfId="11"/>
    <cellStyle name="Финансовый 5" xfId="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9"/>
  <sheetViews>
    <sheetView tabSelected="1" view="pageBreakPreview" zoomScaleNormal="90" zoomScaleSheetLayoutView="100" workbookViewId="0">
      <pane ySplit="8" topLeftCell="A100" activePane="bottomLeft" state="frozen"/>
      <selection pane="bottomLeft" activeCell="I117" sqref="I117:M133"/>
    </sheetView>
  </sheetViews>
  <sheetFormatPr defaultColWidth="9.140625" defaultRowHeight="15" x14ac:dyDescent="0.25"/>
  <cols>
    <col min="1" max="1" width="6.42578125" style="1" customWidth="1"/>
    <col min="2" max="2" width="31.42578125" style="1" customWidth="1"/>
    <col min="3" max="3" width="15.140625" style="6" customWidth="1"/>
    <col min="4" max="4" width="17" style="12" customWidth="1"/>
    <col min="5" max="5" width="16" style="17" customWidth="1"/>
    <col min="6" max="6" width="5.5703125" style="1" customWidth="1"/>
    <col min="7" max="7" width="5.85546875" style="1" customWidth="1"/>
    <col min="8" max="8" width="17" style="12" customWidth="1"/>
    <col min="9" max="9" width="16" style="17" customWidth="1"/>
    <col min="10" max="10" width="4.85546875" style="1" customWidth="1"/>
    <col min="11" max="11" width="5" style="1" customWidth="1"/>
    <col min="12" max="12" width="15" style="1" customWidth="1"/>
    <col min="13" max="13" width="16" style="1" customWidth="1"/>
    <col min="14" max="14" width="4.7109375" style="1" customWidth="1"/>
    <col min="15" max="15" width="6.28515625" style="1" customWidth="1"/>
    <col min="16" max="16" width="14.28515625" style="1" customWidth="1"/>
    <col min="17" max="17" width="9.140625" style="1" customWidth="1"/>
    <col min="18" max="18" width="9.140625" style="1"/>
    <col min="19" max="19" width="23.5703125" style="1" customWidth="1"/>
    <col min="20" max="20" width="9.7109375" style="1" bestFit="1" customWidth="1"/>
    <col min="21" max="16384" width="9.140625" style="1"/>
  </cols>
  <sheetData>
    <row r="1" spans="1:17" x14ac:dyDescent="0.25">
      <c r="M1" s="9" t="s">
        <v>321</v>
      </c>
    </row>
    <row r="2" spans="1:17" ht="18.75" x14ac:dyDescent="0.3">
      <c r="A2" s="503" t="s">
        <v>395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</row>
    <row r="3" spans="1:17" ht="18.75" x14ac:dyDescent="0.3">
      <c r="A3" s="503" t="s">
        <v>320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</row>
    <row r="4" spans="1:17" ht="18.75" x14ac:dyDescent="0.3">
      <c r="A4" s="2"/>
      <c r="B4" s="2"/>
      <c r="C4" s="3"/>
      <c r="D4" s="10"/>
      <c r="E4" s="14"/>
      <c r="F4" s="2"/>
      <c r="G4" s="2"/>
      <c r="H4" s="10"/>
      <c r="I4" s="14"/>
      <c r="J4" s="2"/>
      <c r="K4" s="2"/>
      <c r="L4" s="2"/>
      <c r="M4" s="2"/>
      <c r="N4" s="2"/>
      <c r="O4" s="522"/>
      <c r="P4" s="522"/>
    </row>
    <row r="5" spans="1:17" s="4" customFormat="1" ht="42" customHeight="1" x14ac:dyDescent="0.2">
      <c r="A5" s="507" t="s">
        <v>0</v>
      </c>
      <c r="B5" s="507" t="s">
        <v>1</v>
      </c>
      <c r="C5" s="507" t="s">
        <v>2</v>
      </c>
      <c r="D5" s="515" t="s">
        <v>309</v>
      </c>
      <c r="E5" s="516"/>
      <c r="F5" s="516"/>
      <c r="G5" s="517"/>
      <c r="H5" s="515" t="s">
        <v>310</v>
      </c>
      <c r="I5" s="516"/>
      <c r="J5" s="516"/>
      <c r="K5" s="517"/>
      <c r="L5" s="515" t="s">
        <v>3</v>
      </c>
      <c r="M5" s="516"/>
      <c r="N5" s="516"/>
      <c r="O5" s="517"/>
      <c r="P5" s="507" t="s">
        <v>4</v>
      </c>
    </row>
    <row r="6" spans="1:17" s="4" customFormat="1" ht="42" customHeight="1" x14ac:dyDescent="0.2">
      <c r="A6" s="508"/>
      <c r="B6" s="508"/>
      <c r="C6" s="508"/>
      <c r="D6" s="52" t="s">
        <v>5</v>
      </c>
      <c r="E6" s="15" t="s">
        <v>6</v>
      </c>
      <c r="F6" s="52" t="s">
        <v>7</v>
      </c>
      <c r="G6" s="52" t="s">
        <v>8</v>
      </c>
      <c r="H6" s="496" t="s">
        <v>5</v>
      </c>
      <c r="I6" s="15" t="s">
        <v>6</v>
      </c>
      <c r="J6" s="52" t="s">
        <v>7</v>
      </c>
      <c r="K6" s="52" t="s">
        <v>8</v>
      </c>
      <c r="L6" s="52" t="s">
        <v>5</v>
      </c>
      <c r="M6" s="52" t="s">
        <v>6</v>
      </c>
      <c r="N6" s="52" t="s">
        <v>7</v>
      </c>
      <c r="O6" s="52" t="s">
        <v>8</v>
      </c>
      <c r="P6" s="508"/>
    </row>
    <row r="7" spans="1:17" s="4" customFormat="1" ht="14.25" customHeight="1" thickBot="1" x14ac:dyDescent="0.25">
      <c r="A7" s="52">
        <v>1</v>
      </c>
      <c r="B7" s="52">
        <v>2</v>
      </c>
      <c r="C7" s="51">
        <v>3</v>
      </c>
      <c r="D7" s="52">
        <v>4</v>
      </c>
      <c r="E7" s="15">
        <v>5</v>
      </c>
      <c r="F7" s="52">
        <v>6</v>
      </c>
      <c r="G7" s="52">
        <v>7</v>
      </c>
      <c r="H7" s="496">
        <v>4</v>
      </c>
      <c r="I7" s="15">
        <v>5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2">
        <v>16</v>
      </c>
    </row>
    <row r="8" spans="1:17" ht="19.5" customHeight="1" thickBot="1" x14ac:dyDescent="0.3">
      <c r="A8" s="509" t="s">
        <v>9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1"/>
    </row>
    <row r="9" spans="1:17" s="5" customFormat="1" ht="38.25" customHeight="1" x14ac:dyDescent="0.2">
      <c r="A9" s="208" t="s">
        <v>32</v>
      </c>
      <c r="B9" s="209" t="s">
        <v>43</v>
      </c>
      <c r="C9" s="520" t="s">
        <v>393</v>
      </c>
      <c r="D9" s="216"/>
      <c r="E9" s="210">
        <v>268913.5</v>
      </c>
      <c r="F9" s="217"/>
      <c r="G9" s="218"/>
      <c r="H9" s="216"/>
      <c r="I9" s="210">
        <v>268913.5</v>
      </c>
      <c r="J9" s="217"/>
      <c r="K9" s="219"/>
      <c r="L9" s="216"/>
      <c r="M9" s="215">
        <v>205952.08356999999</v>
      </c>
      <c r="N9" s="217"/>
      <c r="O9" s="220"/>
      <c r="P9" s="221"/>
      <c r="Q9" s="106">
        <f>M9/E9</f>
        <v>0.76586740185970581</v>
      </c>
    </row>
    <row r="10" spans="1:17" s="5" customFormat="1" ht="38.25" x14ac:dyDescent="0.2">
      <c r="A10" s="18" t="s">
        <v>33</v>
      </c>
      <c r="B10" s="19" t="s">
        <v>44</v>
      </c>
      <c r="C10" s="521"/>
      <c r="D10" s="72"/>
      <c r="E10" s="69">
        <v>99568.7</v>
      </c>
      <c r="F10" s="70"/>
      <c r="G10" s="73"/>
      <c r="H10" s="72"/>
      <c r="I10" s="69">
        <v>99568.7</v>
      </c>
      <c r="J10" s="70"/>
      <c r="K10" s="71"/>
      <c r="L10" s="72"/>
      <c r="M10" s="74">
        <v>64667.002</v>
      </c>
      <c r="N10" s="70"/>
      <c r="O10" s="56"/>
      <c r="P10" s="54"/>
      <c r="Q10" s="106">
        <f t="shared" ref="Q10:Q73" si="0">M10/E10</f>
        <v>0.64947118923918867</v>
      </c>
    </row>
    <row r="11" spans="1:17" s="5" customFormat="1" ht="38.25" x14ac:dyDescent="0.2">
      <c r="A11" s="21" t="s">
        <v>34</v>
      </c>
      <c r="B11" s="22" t="s">
        <v>45</v>
      </c>
      <c r="C11" s="521"/>
      <c r="D11" s="75"/>
      <c r="E11" s="76">
        <f>E12+E13</f>
        <v>63900</v>
      </c>
      <c r="F11" s="77"/>
      <c r="G11" s="78"/>
      <c r="H11" s="75"/>
      <c r="I11" s="76">
        <f>I12+I13</f>
        <v>63900</v>
      </c>
      <c r="J11" s="77"/>
      <c r="K11" s="79"/>
      <c r="L11" s="75"/>
      <c r="M11" s="76">
        <f>M12+M13</f>
        <v>41727.447</v>
      </c>
      <c r="N11" s="80"/>
      <c r="O11" s="57"/>
      <c r="P11" s="55"/>
      <c r="Q11" s="106">
        <f t="shared" si="0"/>
        <v>0.65301169014084504</v>
      </c>
    </row>
    <row r="12" spans="1:17" s="5" customFormat="1" ht="38.25" x14ac:dyDescent="0.2">
      <c r="A12" s="18" t="s">
        <v>95</v>
      </c>
      <c r="B12" s="19" t="s">
        <v>46</v>
      </c>
      <c r="C12" s="521"/>
      <c r="D12" s="72"/>
      <c r="E12" s="69">
        <v>3100</v>
      </c>
      <c r="F12" s="70"/>
      <c r="G12" s="73"/>
      <c r="H12" s="72"/>
      <c r="I12" s="69">
        <v>3100</v>
      </c>
      <c r="J12" s="70"/>
      <c r="K12" s="71"/>
      <c r="L12" s="72"/>
      <c r="M12" s="74">
        <v>1295.923</v>
      </c>
      <c r="N12" s="70"/>
      <c r="O12" s="56"/>
      <c r="P12" s="54"/>
      <c r="Q12" s="106">
        <f t="shared" si="0"/>
        <v>0.41803967741935483</v>
      </c>
    </row>
    <row r="13" spans="1:17" s="5" customFormat="1" ht="165.75" x14ac:dyDescent="0.2">
      <c r="A13" s="18" t="s">
        <v>96</v>
      </c>
      <c r="B13" s="19" t="s">
        <v>148</v>
      </c>
      <c r="C13" s="521"/>
      <c r="D13" s="72"/>
      <c r="E13" s="69">
        <v>60800</v>
      </c>
      <c r="F13" s="70"/>
      <c r="G13" s="73"/>
      <c r="H13" s="72"/>
      <c r="I13" s="69">
        <v>60800</v>
      </c>
      <c r="J13" s="70"/>
      <c r="K13" s="71"/>
      <c r="L13" s="72"/>
      <c r="M13" s="74">
        <v>40431.523999999998</v>
      </c>
      <c r="N13" s="70"/>
      <c r="O13" s="56"/>
      <c r="P13" s="54"/>
      <c r="Q13" s="106">
        <f t="shared" si="0"/>
        <v>0.66499217105263153</v>
      </c>
    </row>
    <row r="14" spans="1:17" s="5" customFormat="1" ht="63.75" x14ac:dyDescent="0.2">
      <c r="A14" s="18" t="s">
        <v>35</v>
      </c>
      <c r="B14" s="19" t="s">
        <v>149</v>
      </c>
      <c r="C14" s="521"/>
      <c r="D14" s="72"/>
      <c r="E14" s="69">
        <v>12831</v>
      </c>
      <c r="F14" s="70"/>
      <c r="G14" s="73"/>
      <c r="H14" s="72"/>
      <c r="I14" s="69">
        <v>12831</v>
      </c>
      <c r="J14" s="70"/>
      <c r="K14" s="71"/>
      <c r="L14" s="72"/>
      <c r="M14" s="74">
        <v>11078.909</v>
      </c>
      <c r="N14" s="70"/>
      <c r="O14" s="56"/>
      <c r="P14" s="54"/>
      <c r="Q14" s="106">
        <f t="shared" si="0"/>
        <v>0.86344860104434573</v>
      </c>
    </row>
    <row r="15" spans="1:17" s="5" customFormat="1" ht="38.25" customHeight="1" x14ac:dyDescent="0.2">
      <c r="A15" s="21" t="s">
        <v>36</v>
      </c>
      <c r="B15" s="22" t="s">
        <v>37</v>
      </c>
      <c r="C15" s="521"/>
      <c r="D15" s="76">
        <f>D16+D17+D18+D19+D20+D21+D22+D23+D24+D25+D26+D27+D28+D29+D30+D31+D33+D34+D35+D36+D37+D38+D39+D40+D41+D42+D43+D44+D45+D46+D47+D48+D49+D50+D51+D52+D53+D54+D55+D32</f>
        <v>1131298.7</v>
      </c>
      <c r="E15" s="76">
        <f>E16+E17+E18+E19+E20+E21+E22+E23+E24+E25+E26+E27+E28+E29+E30+E31+E33+E34+E35+E36+E37+E38+E39+E40+E41+E42+E43+E44+E45+E46+E47+E48+E49+E50+E51+E52+E53+E54+E55+E32</f>
        <v>3021851.6999999993</v>
      </c>
      <c r="F15" s="80"/>
      <c r="G15" s="81"/>
      <c r="H15" s="76">
        <f>H16+H17+H18+H19+H20+H21+H22+H23+H24+H25+H26+H27+H28+H29+H30+H31+H33+H34+H35+H36+H37+H38+H39+H40+H41+H42+H43+H44+H45+H46+H47+H48+H49+H50+H51+H52+H53+H54+H55+H32</f>
        <v>972756.6</v>
      </c>
      <c r="I15" s="76">
        <f>I16+I17+I18+I19+I20+I21+I22+I23+I24+I25+I26+I27+I28+I29+I30+I31+I33+I34+I35+I36+I37+I38+I39+I40+I41+I42+I43+I44+I45+I46+I47+I48+I49+I50+I51+I52+I53+I54+I55+I32</f>
        <v>3020810.9999999991</v>
      </c>
      <c r="J15" s="80"/>
      <c r="K15" s="81"/>
      <c r="L15" s="107">
        <f t="shared" ref="L15:M15" si="1">L16+L17+L18+L19+L20+L21+L22+L23+L24+L25+L26+L27+L28+L29+L30+L31+L33+L34+L35+L36+L37+L38+L39+L40+L41+L42+L43+L44+L45+L46+L47+L48+L49+L50+L51+L52+L53+L54+L55+L32</f>
        <v>538059.28610000003</v>
      </c>
      <c r="M15" s="76">
        <f t="shared" si="1"/>
        <v>2150136.9488599999</v>
      </c>
      <c r="N15" s="70"/>
      <c r="O15" s="56"/>
      <c r="P15" s="54"/>
      <c r="Q15" s="106">
        <f t="shared" si="0"/>
        <v>0.71152960579104541</v>
      </c>
    </row>
    <row r="16" spans="1:17" s="5" customFormat="1" ht="25.5" x14ac:dyDescent="0.2">
      <c r="A16" s="18" t="s">
        <v>97</v>
      </c>
      <c r="B16" s="19" t="s">
        <v>47</v>
      </c>
      <c r="C16" s="521"/>
      <c r="D16" s="82"/>
      <c r="E16" s="69">
        <v>1204027.2</v>
      </c>
      <c r="F16" s="83"/>
      <c r="G16" s="84"/>
      <c r="H16" s="82"/>
      <c r="I16" s="69">
        <v>1204027.2</v>
      </c>
      <c r="J16" s="83"/>
      <c r="K16" s="85"/>
      <c r="L16" s="86"/>
      <c r="M16" s="74">
        <v>859306.18209000002</v>
      </c>
      <c r="N16" s="83"/>
      <c r="O16" s="58"/>
      <c r="P16" s="36"/>
      <c r="Q16" s="106">
        <f t="shared" si="0"/>
        <v>0.713693330258652</v>
      </c>
    </row>
    <row r="17" spans="1:17" s="5" customFormat="1" ht="25.5" x14ac:dyDescent="0.2">
      <c r="A17" s="18" t="s">
        <v>98</v>
      </c>
      <c r="B17" s="19" t="s">
        <v>48</v>
      </c>
      <c r="C17" s="521"/>
      <c r="D17" s="82"/>
      <c r="E17" s="69">
        <v>2651.3</v>
      </c>
      <c r="F17" s="83"/>
      <c r="G17" s="84"/>
      <c r="H17" s="82"/>
      <c r="I17" s="69">
        <v>2651.3</v>
      </c>
      <c r="J17" s="83"/>
      <c r="K17" s="85"/>
      <c r="L17" s="86"/>
      <c r="M17" s="74">
        <v>1504.51118</v>
      </c>
      <c r="N17" s="83"/>
      <c r="O17" s="58"/>
      <c r="P17" s="36"/>
      <c r="Q17" s="106">
        <f t="shared" si="0"/>
        <v>0.567461690491457</v>
      </c>
    </row>
    <row r="18" spans="1:17" s="5" customFormat="1" ht="51" x14ac:dyDescent="0.2">
      <c r="A18" s="18" t="s">
        <v>99</v>
      </c>
      <c r="B18" s="19" t="s">
        <v>49</v>
      </c>
      <c r="C18" s="521"/>
      <c r="D18" s="82"/>
      <c r="E18" s="69">
        <v>25663.599999999999</v>
      </c>
      <c r="F18" s="83"/>
      <c r="G18" s="84"/>
      <c r="H18" s="82"/>
      <c r="I18" s="69">
        <v>25663.599999999999</v>
      </c>
      <c r="J18" s="83"/>
      <c r="K18" s="85"/>
      <c r="L18" s="86"/>
      <c r="M18" s="74">
        <v>17795.09</v>
      </c>
      <c r="N18" s="83"/>
      <c r="O18" s="58"/>
      <c r="P18" s="36"/>
      <c r="Q18" s="106">
        <f t="shared" si="0"/>
        <v>0.69339804236350322</v>
      </c>
    </row>
    <row r="19" spans="1:17" s="5" customFormat="1" ht="38.25" x14ac:dyDescent="0.2">
      <c r="A19" s="18" t="s">
        <v>100</v>
      </c>
      <c r="B19" s="19" t="s">
        <v>150</v>
      </c>
      <c r="C19" s="521"/>
      <c r="D19" s="82"/>
      <c r="E19" s="69">
        <v>1219542.6000000001</v>
      </c>
      <c r="F19" s="83"/>
      <c r="G19" s="84"/>
      <c r="H19" s="82"/>
      <c r="I19" s="69">
        <v>1219542.6000000001</v>
      </c>
      <c r="J19" s="83"/>
      <c r="K19" s="85"/>
      <c r="L19" s="86"/>
      <c r="M19" s="74">
        <v>849876.01599999995</v>
      </c>
      <c r="N19" s="83"/>
      <c r="O19" s="58"/>
      <c r="P19" s="36"/>
      <c r="Q19" s="106">
        <f t="shared" si="0"/>
        <v>0.69688095848394294</v>
      </c>
    </row>
    <row r="20" spans="1:17" s="5" customFormat="1" ht="102" customHeight="1" x14ac:dyDescent="0.2">
      <c r="A20" s="18" t="s">
        <v>101</v>
      </c>
      <c r="B20" s="19" t="s">
        <v>50</v>
      </c>
      <c r="C20" s="497" t="s">
        <v>393</v>
      </c>
      <c r="D20" s="82"/>
      <c r="E20" s="69">
        <v>14950.5</v>
      </c>
      <c r="F20" s="83"/>
      <c r="G20" s="84"/>
      <c r="H20" s="82"/>
      <c r="I20" s="69">
        <v>14950.5</v>
      </c>
      <c r="J20" s="83"/>
      <c r="K20" s="85"/>
      <c r="L20" s="86"/>
      <c r="M20" s="74">
        <v>10949.5779</v>
      </c>
      <c r="N20" s="83"/>
      <c r="O20" s="58"/>
      <c r="P20" s="36"/>
      <c r="Q20" s="106">
        <f t="shared" si="0"/>
        <v>0.73238874285140965</v>
      </c>
    </row>
    <row r="21" spans="1:17" s="5" customFormat="1" ht="51" x14ac:dyDescent="0.2">
      <c r="A21" s="18" t="s">
        <v>102</v>
      </c>
      <c r="B21" s="19" t="s">
        <v>51</v>
      </c>
      <c r="C21" s="497"/>
      <c r="D21" s="82"/>
      <c r="E21" s="69">
        <v>104484.3</v>
      </c>
      <c r="F21" s="83"/>
      <c r="G21" s="84"/>
      <c r="H21" s="82"/>
      <c r="I21" s="69">
        <v>104484.3</v>
      </c>
      <c r="J21" s="83"/>
      <c r="K21" s="85"/>
      <c r="L21" s="86"/>
      <c r="M21" s="74">
        <v>66363.273000000001</v>
      </c>
      <c r="N21" s="83"/>
      <c r="O21" s="58"/>
      <c r="P21" s="36"/>
      <c r="Q21" s="106">
        <f t="shared" si="0"/>
        <v>0.63515066856934488</v>
      </c>
    </row>
    <row r="22" spans="1:17" s="5" customFormat="1" ht="38.25" x14ac:dyDescent="0.2">
      <c r="A22" s="18" t="s">
        <v>103</v>
      </c>
      <c r="B22" s="19" t="s">
        <v>52</v>
      </c>
      <c r="C22" s="497"/>
      <c r="D22" s="82"/>
      <c r="E22" s="69">
        <v>6910.4</v>
      </c>
      <c r="F22" s="83"/>
      <c r="G22" s="84"/>
      <c r="H22" s="82"/>
      <c r="I22" s="69">
        <v>6910.4</v>
      </c>
      <c r="J22" s="83"/>
      <c r="K22" s="85"/>
      <c r="L22" s="86"/>
      <c r="M22" s="74">
        <v>4435.1949999999997</v>
      </c>
      <c r="N22" s="83"/>
      <c r="O22" s="58"/>
      <c r="P22" s="36"/>
      <c r="Q22" s="106">
        <f t="shared" si="0"/>
        <v>0.64181451146098634</v>
      </c>
    </row>
    <row r="23" spans="1:17" s="5" customFormat="1" ht="255" x14ac:dyDescent="0.2">
      <c r="A23" s="18" t="s">
        <v>104</v>
      </c>
      <c r="B23" s="19" t="s">
        <v>53</v>
      </c>
      <c r="C23" s="497"/>
      <c r="D23" s="82"/>
      <c r="E23" s="69">
        <v>294.10000000000002</v>
      </c>
      <c r="F23" s="83"/>
      <c r="G23" s="84"/>
      <c r="H23" s="82"/>
      <c r="I23" s="69">
        <v>294.10000000000002</v>
      </c>
      <c r="J23" s="83"/>
      <c r="K23" s="85"/>
      <c r="L23" s="86"/>
      <c r="M23" s="74">
        <v>0</v>
      </c>
      <c r="N23" s="83"/>
      <c r="O23" s="58"/>
      <c r="P23" s="36"/>
      <c r="Q23" s="106">
        <f t="shared" si="0"/>
        <v>0</v>
      </c>
    </row>
    <row r="24" spans="1:17" s="5" customFormat="1" ht="89.25" customHeight="1" x14ac:dyDescent="0.2">
      <c r="A24" s="18" t="s">
        <v>105</v>
      </c>
      <c r="B24" s="19" t="s">
        <v>54</v>
      </c>
      <c r="C24" s="497"/>
      <c r="D24" s="82"/>
      <c r="E24" s="69">
        <v>238292.1</v>
      </c>
      <c r="F24" s="83"/>
      <c r="G24" s="84"/>
      <c r="H24" s="82"/>
      <c r="I24" s="69">
        <v>238292.1</v>
      </c>
      <c r="J24" s="83"/>
      <c r="K24" s="85"/>
      <c r="L24" s="86"/>
      <c r="M24" s="74">
        <v>205600.90700000001</v>
      </c>
      <c r="N24" s="83"/>
      <c r="O24" s="58"/>
      <c r="P24" s="36"/>
      <c r="Q24" s="106">
        <f t="shared" si="0"/>
        <v>0.86281042048813206</v>
      </c>
    </row>
    <row r="25" spans="1:17" s="5" customFormat="1" ht="51" x14ac:dyDescent="0.2">
      <c r="A25" s="18" t="s">
        <v>106</v>
      </c>
      <c r="B25" s="19" t="s">
        <v>55</v>
      </c>
      <c r="C25" s="497"/>
      <c r="D25" s="82"/>
      <c r="E25" s="69">
        <v>4173.3999999999996</v>
      </c>
      <c r="F25" s="83"/>
      <c r="G25" s="84"/>
      <c r="H25" s="82"/>
      <c r="I25" s="69">
        <v>4173.3999999999996</v>
      </c>
      <c r="J25" s="83"/>
      <c r="K25" s="85"/>
      <c r="L25" s="86"/>
      <c r="M25" s="74">
        <v>834.71289000000002</v>
      </c>
      <c r="N25" s="83"/>
      <c r="O25" s="58"/>
      <c r="P25" s="36"/>
      <c r="Q25" s="106">
        <f t="shared" si="0"/>
        <v>0.20000788086452295</v>
      </c>
    </row>
    <row r="26" spans="1:17" s="5" customFormat="1" ht="63.75" x14ac:dyDescent="0.2">
      <c r="A26" s="18" t="s">
        <v>107</v>
      </c>
      <c r="B26" s="19" t="s">
        <v>56</v>
      </c>
      <c r="C26" s="497"/>
      <c r="D26" s="82"/>
      <c r="E26" s="69">
        <v>140</v>
      </c>
      <c r="F26" s="83"/>
      <c r="G26" s="84"/>
      <c r="H26" s="82"/>
      <c r="I26" s="69">
        <v>140</v>
      </c>
      <c r="J26" s="83"/>
      <c r="K26" s="85"/>
      <c r="L26" s="86"/>
      <c r="M26" s="74">
        <v>0</v>
      </c>
      <c r="N26" s="83"/>
      <c r="O26" s="58"/>
      <c r="P26" s="36"/>
      <c r="Q26" s="106">
        <f t="shared" si="0"/>
        <v>0</v>
      </c>
    </row>
    <row r="27" spans="1:17" s="5" customFormat="1" ht="51" x14ac:dyDescent="0.2">
      <c r="A27" s="18" t="s">
        <v>108</v>
      </c>
      <c r="B27" s="19" t="s">
        <v>57</v>
      </c>
      <c r="C27" s="497"/>
      <c r="D27" s="82"/>
      <c r="E27" s="69">
        <v>448.3</v>
      </c>
      <c r="F27" s="83"/>
      <c r="G27" s="84"/>
      <c r="H27" s="82"/>
      <c r="I27" s="69">
        <v>448.3</v>
      </c>
      <c r="J27" s="83"/>
      <c r="K27" s="85"/>
      <c r="L27" s="86"/>
      <c r="M27" s="74">
        <v>320.92106000000001</v>
      </c>
      <c r="N27" s="83"/>
      <c r="O27" s="58"/>
      <c r="P27" s="36"/>
      <c r="Q27" s="106">
        <f t="shared" si="0"/>
        <v>0.71586227972339955</v>
      </c>
    </row>
    <row r="28" spans="1:17" s="5" customFormat="1" ht="229.5" x14ac:dyDescent="0.2">
      <c r="A28" s="18" t="s">
        <v>109</v>
      </c>
      <c r="B28" s="19" t="s">
        <v>151</v>
      </c>
      <c r="C28" s="497" t="s">
        <v>393</v>
      </c>
      <c r="D28" s="82"/>
      <c r="E28" s="69">
        <v>2110.1</v>
      </c>
      <c r="F28" s="83"/>
      <c r="G28" s="84"/>
      <c r="H28" s="82"/>
      <c r="I28" s="69">
        <v>2110.1</v>
      </c>
      <c r="J28" s="83"/>
      <c r="K28" s="85"/>
      <c r="L28" s="86"/>
      <c r="M28" s="74">
        <v>1530.048</v>
      </c>
      <c r="N28" s="83"/>
      <c r="O28" s="58"/>
      <c r="P28" s="36"/>
      <c r="Q28" s="106">
        <f t="shared" si="0"/>
        <v>0.72510686697312932</v>
      </c>
    </row>
    <row r="29" spans="1:17" s="5" customFormat="1" ht="63.75" x14ac:dyDescent="0.2">
      <c r="A29" s="18" t="s">
        <v>110</v>
      </c>
      <c r="B29" s="19" t="s">
        <v>58</v>
      </c>
      <c r="C29" s="497"/>
      <c r="D29" s="82"/>
      <c r="E29" s="69">
        <v>972.3</v>
      </c>
      <c r="F29" s="83"/>
      <c r="G29" s="84"/>
      <c r="H29" s="82"/>
      <c r="I29" s="69">
        <v>972.3</v>
      </c>
      <c r="J29" s="83"/>
      <c r="K29" s="85"/>
      <c r="L29" s="86"/>
      <c r="M29" s="74">
        <v>0</v>
      </c>
      <c r="N29" s="83"/>
      <c r="O29" s="58"/>
      <c r="P29" s="36"/>
      <c r="Q29" s="106">
        <f t="shared" si="0"/>
        <v>0</v>
      </c>
    </row>
    <row r="30" spans="1:17" s="5" customFormat="1" ht="51" x14ac:dyDescent="0.2">
      <c r="A30" s="18" t="s">
        <v>111</v>
      </c>
      <c r="B30" s="19" t="s">
        <v>59</v>
      </c>
      <c r="C30" s="497"/>
      <c r="D30" s="82"/>
      <c r="E30" s="69">
        <v>2019.3</v>
      </c>
      <c r="F30" s="83"/>
      <c r="G30" s="84"/>
      <c r="H30" s="82"/>
      <c r="I30" s="69">
        <v>2019.3</v>
      </c>
      <c r="J30" s="83"/>
      <c r="K30" s="85"/>
      <c r="L30" s="86"/>
      <c r="M30" s="74">
        <v>1361.9490000000001</v>
      </c>
      <c r="N30" s="83"/>
      <c r="O30" s="58"/>
      <c r="P30" s="36"/>
      <c r="Q30" s="106">
        <f t="shared" si="0"/>
        <v>0.6744659040261477</v>
      </c>
    </row>
    <row r="31" spans="1:17" s="5" customFormat="1" ht="89.25" x14ac:dyDescent="0.2">
      <c r="A31" s="518" t="s">
        <v>112</v>
      </c>
      <c r="B31" s="518" t="s">
        <v>12</v>
      </c>
      <c r="C31" s="24" t="s">
        <v>394</v>
      </c>
      <c r="D31" s="82"/>
      <c r="E31" s="69">
        <v>9851.1</v>
      </c>
      <c r="F31" s="83"/>
      <c r="G31" s="84"/>
      <c r="H31" s="82"/>
      <c r="I31" s="69">
        <v>9851.1</v>
      </c>
      <c r="J31" s="83"/>
      <c r="K31" s="85"/>
      <c r="L31" s="86"/>
      <c r="M31" s="74">
        <v>1874.6578500000001</v>
      </c>
      <c r="N31" s="83"/>
      <c r="O31" s="58"/>
      <c r="P31" s="36"/>
      <c r="Q31" s="106">
        <f t="shared" si="0"/>
        <v>0.19029934220543898</v>
      </c>
    </row>
    <row r="32" spans="1:17" s="5" customFormat="1" ht="38.25" x14ac:dyDescent="0.2">
      <c r="A32" s="519"/>
      <c r="B32" s="519"/>
      <c r="C32" s="24" t="s">
        <v>288</v>
      </c>
      <c r="D32" s="82"/>
      <c r="E32" s="69">
        <f>2639.3+1040.7</f>
        <v>3680</v>
      </c>
      <c r="F32" s="83"/>
      <c r="G32" s="84"/>
      <c r="H32" s="82"/>
      <c r="I32" s="69">
        <v>2639.3</v>
      </c>
      <c r="J32" s="83"/>
      <c r="K32" s="85"/>
      <c r="L32" s="86"/>
      <c r="M32" s="74">
        <v>429.9</v>
      </c>
      <c r="N32" s="83"/>
      <c r="O32" s="58"/>
      <c r="P32" s="36"/>
      <c r="Q32" s="106">
        <f t="shared" si="0"/>
        <v>0.11682065217391303</v>
      </c>
    </row>
    <row r="33" spans="1:17" s="5" customFormat="1" ht="25.5" customHeight="1" x14ac:dyDescent="0.2">
      <c r="A33" s="18" t="s">
        <v>113</v>
      </c>
      <c r="B33" s="19" t="s">
        <v>152</v>
      </c>
      <c r="C33" s="497" t="s">
        <v>393</v>
      </c>
      <c r="D33" s="82"/>
      <c r="E33" s="69">
        <v>967.2</v>
      </c>
      <c r="F33" s="83"/>
      <c r="G33" s="84"/>
      <c r="H33" s="82"/>
      <c r="I33" s="69">
        <v>967.2</v>
      </c>
      <c r="J33" s="83"/>
      <c r="K33" s="85"/>
      <c r="L33" s="86"/>
      <c r="M33" s="74">
        <v>483.6</v>
      </c>
      <c r="N33" s="83"/>
      <c r="O33" s="58"/>
      <c r="P33" s="36"/>
      <c r="Q33" s="106">
        <f t="shared" si="0"/>
        <v>0.5</v>
      </c>
    </row>
    <row r="34" spans="1:17" s="5" customFormat="1" ht="38.25" x14ac:dyDescent="0.2">
      <c r="A34" s="18" t="s">
        <v>114</v>
      </c>
      <c r="B34" s="19" t="s">
        <v>60</v>
      </c>
      <c r="C34" s="497"/>
      <c r="D34" s="82"/>
      <c r="E34" s="69">
        <v>5.2</v>
      </c>
      <c r="F34" s="83"/>
      <c r="G34" s="84"/>
      <c r="H34" s="82"/>
      <c r="I34" s="69">
        <v>5.2</v>
      </c>
      <c r="J34" s="83"/>
      <c r="K34" s="85"/>
      <c r="L34" s="86"/>
      <c r="M34" s="74">
        <v>0</v>
      </c>
      <c r="N34" s="83"/>
      <c r="O34" s="58"/>
      <c r="P34" s="36"/>
      <c r="Q34" s="106">
        <f t="shared" si="0"/>
        <v>0</v>
      </c>
    </row>
    <row r="35" spans="1:17" s="5" customFormat="1" ht="38.25" x14ac:dyDescent="0.2">
      <c r="A35" s="18" t="s">
        <v>115</v>
      </c>
      <c r="B35" s="19" t="s">
        <v>61</v>
      </c>
      <c r="C35" s="497"/>
      <c r="D35" s="82"/>
      <c r="E35" s="69">
        <v>18960.5</v>
      </c>
      <c r="F35" s="83"/>
      <c r="G35" s="84"/>
      <c r="H35" s="82"/>
      <c r="I35" s="69">
        <v>18960.5</v>
      </c>
      <c r="J35" s="83"/>
      <c r="K35" s="85"/>
      <c r="L35" s="86"/>
      <c r="M35" s="74">
        <v>9334.4</v>
      </c>
      <c r="N35" s="83"/>
      <c r="O35" s="58"/>
      <c r="P35" s="36"/>
      <c r="Q35" s="106">
        <f t="shared" si="0"/>
        <v>0.49230769230769228</v>
      </c>
    </row>
    <row r="36" spans="1:17" s="5" customFormat="1" ht="25.5" x14ac:dyDescent="0.2">
      <c r="A36" s="18" t="s">
        <v>116</v>
      </c>
      <c r="B36" s="19" t="s">
        <v>62</v>
      </c>
      <c r="C36" s="497"/>
      <c r="D36" s="82"/>
      <c r="E36" s="69">
        <v>8093.6</v>
      </c>
      <c r="F36" s="83"/>
      <c r="G36" s="84"/>
      <c r="H36" s="82"/>
      <c r="I36" s="69">
        <v>8093.6</v>
      </c>
      <c r="J36" s="83"/>
      <c r="K36" s="85"/>
      <c r="L36" s="86"/>
      <c r="M36" s="74">
        <v>5802.1130000000003</v>
      </c>
      <c r="N36" s="83"/>
      <c r="O36" s="58"/>
      <c r="P36" s="36"/>
      <c r="Q36" s="106">
        <f t="shared" si="0"/>
        <v>0.71687666798458038</v>
      </c>
    </row>
    <row r="37" spans="1:17" s="5" customFormat="1" ht="38.25" x14ac:dyDescent="0.2">
      <c r="A37" s="18" t="s">
        <v>117</v>
      </c>
      <c r="B37" s="19" t="s">
        <v>63</v>
      </c>
      <c r="C37" s="497"/>
      <c r="D37" s="82"/>
      <c r="E37" s="69">
        <v>19154.5</v>
      </c>
      <c r="F37" s="83"/>
      <c r="G37" s="84"/>
      <c r="H37" s="82"/>
      <c r="I37" s="69">
        <v>19154.5</v>
      </c>
      <c r="J37" s="83"/>
      <c r="K37" s="85"/>
      <c r="L37" s="86"/>
      <c r="M37" s="74">
        <v>12929.2582</v>
      </c>
      <c r="N37" s="83"/>
      <c r="O37" s="58"/>
      <c r="P37" s="36"/>
      <c r="Q37" s="106">
        <f t="shared" si="0"/>
        <v>0.67499847033334204</v>
      </c>
    </row>
    <row r="38" spans="1:17" s="5" customFormat="1" ht="76.5" x14ac:dyDescent="0.2">
      <c r="A38" s="18" t="s">
        <v>118</v>
      </c>
      <c r="B38" s="19" t="s">
        <v>64</v>
      </c>
      <c r="C38" s="497"/>
      <c r="D38" s="82"/>
      <c r="E38" s="69">
        <v>6605.3</v>
      </c>
      <c r="F38" s="83"/>
      <c r="G38" s="84"/>
      <c r="H38" s="82"/>
      <c r="I38" s="69">
        <v>6605.3</v>
      </c>
      <c r="J38" s="83"/>
      <c r="K38" s="85"/>
      <c r="L38" s="86"/>
      <c r="M38" s="74">
        <v>2813.252</v>
      </c>
      <c r="N38" s="83"/>
      <c r="O38" s="58"/>
      <c r="P38" s="36"/>
      <c r="Q38" s="106">
        <f t="shared" si="0"/>
        <v>0.42590828577051759</v>
      </c>
    </row>
    <row r="39" spans="1:17" s="5" customFormat="1" ht="38.25" x14ac:dyDescent="0.2">
      <c r="A39" s="18" t="s">
        <v>119</v>
      </c>
      <c r="B39" s="19" t="s">
        <v>65</v>
      </c>
      <c r="C39" s="497"/>
      <c r="D39" s="82"/>
      <c r="E39" s="69">
        <v>2061.3000000000002</v>
      </c>
      <c r="F39" s="83"/>
      <c r="G39" s="84"/>
      <c r="H39" s="82"/>
      <c r="I39" s="69">
        <v>2061.3000000000002</v>
      </c>
      <c r="J39" s="83"/>
      <c r="K39" s="85"/>
      <c r="L39" s="86"/>
      <c r="M39" s="74">
        <v>1435.5749800000001</v>
      </c>
      <c r="N39" s="83"/>
      <c r="O39" s="58"/>
      <c r="P39" s="36"/>
      <c r="Q39" s="106">
        <f t="shared" si="0"/>
        <v>0.69644155629942273</v>
      </c>
    </row>
    <row r="40" spans="1:17" s="5" customFormat="1" ht="76.5" x14ac:dyDescent="0.2">
      <c r="A40" s="18" t="s">
        <v>120</v>
      </c>
      <c r="B40" s="19" t="s">
        <v>13</v>
      </c>
      <c r="C40" s="497" t="s">
        <v>393</v>
      </c>
      <c r="D40" s="82"/>
      <c r="E40" s="69">
        <v>34898.400000000001</v>
      </c>
      <c r="F40" s="83"/>
      <c r="G40" s="84"/>
      <c r="H40" s="82"/>
      <c r="I40" s="69">
        <v>34898.400000000001</v>
      </c>
      <c r="J40" s="83"/>
      <c r="K40" s="85"/>
      <c r="L40" s="86"/>
      <c r="M40" s="74">
        <v>14762.33625</v>
      </c>
      <c r="N40" s="83"/>
      <c r="O40" s="58"/>
      <c r="P40" s="36"/>
      <c r="Q40" s="106">
        <f t="shared" si="0"/>
        <v>0.42300897032528711</v>
      </c>
    </row>
    <row r="41" spans="1:17" s="5" customFormat="1" ht="51" x14ac:dyDescent="0.2">
      <c r="A41" s="18" t="s">
        <v>121</v>
      </c>
      <c r="B41" s="19" t="s">
        <v>66</v>
      </c>
      <c r="C41" s="497"/>
      <c r="D41" s="82"/>
      <c r="E41" s="69">
        <v>5000</v>
      </c>
      <c r="F41" s="83"/>
      <c r="G41" s="84"/>
      <c r="H41" s="82"/>
      <c r="I41" s="69">
        <v>5000</v>
      </c>
      <c r="J41" s="83"/>
      <c r="K41" s="85"/>
      <c r="L41" s="86"/>
      <c r="M41" s="74">
        <v>4400.4129999999996</v>
      </c>
      <c r="N41" s="83"/>
      <c r="O41" s="58"/>
      <c r="P41" s="36"/>
      <c r="Q41" s="106">
        <f t="shared" si="0"/>
        <v>0.88008259999999994</v>
      </c>
    </row>
    <row r="42" spans="1:17" s="5" customFormat="1" ht="51" customHeight="1" x14ac:dyDescent="0.2">
      <c r="A42" s="18" t="s">
        <v>122</v>
      </c>
      <c r="B42" s="19" t="s">
        <v>67</v>
      </c>
      <c r="C42" s="497"/>
      <c r="D42" s="82"/>
      <c r="E42" s="69">
        <v>58190</v>
      </c>
      <c r="F42" s="83"/>
      <c r="G42" s="84"/>
      <c r="H42" s="82"/>
      <c r="I42" s="69">
        <v>58190</v>
      </c>
      <c r="J42" s="83"/>
      <c r="K42" s="85"/>
      <c r="L42" s="86"/>
      <c r="M42" s="74">
        <v>57859.483209999999</v>
      </c>
      <c r="N42" s="83"/>
      <c r="O42" s="58"/>
      <c r="P42" s="36"/>
      <c r="Q42" s="106">
        <f t="shared" si="0"/>
        <v>0.99432004141605079</v>
      </c>
    </row>
    <row r="43" spans="1:17" s="5" customFormat="1" ht="25.5" x14ac:dyDescent="0.2">
      <c r="A43" s="18" t="s">
        <v>123</v>
      </c>
      <c r="B43" s="19" t="s">
        <v>68</v>
      </c>
      <c r="C43" s="497"/>
      <c r="D43" s="82"/>
      <c r="E43" s="69">
        <v>152.30000000000001</v>
      </c>
      <c r="F43" s="83"/>
      <c r="G43" s="84"/>
      <c r="H43" s="82"/>
      <c r="I43" s="69">
        <v>152.30000000000001</v>
      </c>
      <c r="J43" s="83"/>
      <c r="K43" s="85"/>
      <c r="L43" s="86"/>
      <c r="M43" s="74">
        <v>27</v>
      </c>
      <c r="N43" s="83"/>
      <c r="O43" s="58"/>
      <c r="P43" s="36"/>
      <c r="Q43" s="106">
        <f t="shared" si="0"/>
        <v>0.17728168089297439</v>
      </c>
    </row>
    <row r="44" spans="1:17" ht="127.5" x14ac:dyDescent="0.25">
      <c r="A44" s="18" t="s">
        <v>124</v>
      </c>
      <c r="B44" s="19" t="s">
        <v>69</v>
      </c>
      <c r="C44" s="497"/>
      <c r="D44" s="82"/>
      <c r="E44" s="69">
        <v>36.5</v>
      </c>
      <c r="F44" s="83"/>
      <c r="G44" s="84"/>
      <c r="H44" s="82"/>
      <c r="I44" s="69">
        <v>36.5</v>
      </c>
      <c r="J44" s="83"/>
      <c r="K44" s="85"/>
      <c r="L44" s="86"/>
      <c r="M44" s="74">
        <v>4.3689999999999998</v>
      </c>
      <c r="N44" s="83"/>
      <c r="O44" s="58"/>
      <c r="P44" s="36"/>
      <c r="Q44" s="106">
        <f t="shared" si="0"/>
        <v>0.1196986301369863</v>
      </c>
    </row>
    <row r="45" spans="1:17" ht="25.5" x14ac:dyDescent="0.25">
      <c r="A45" s="18" t="s">
        <v>125</v>
      </c>
      <c r="B45" s="19" t="s">
        <v>70</v>
      </c>
      <c r="C45" s="497"/>
      <c r="D45" s="82"/>
      <c r="E45" s="69">
        <v>1979.5</v>
      </c>
      <c r="F45" s="83"/>
      <c r="G45" s="84"/>
      <c r="H45" s="82"/>
      <c r="I45" s="69">
        <v>1979.5</v>
      </c>
      <c r="J45" s="83"/>
      <c r="K45" s="85"/>
      <c r="L45" s="86"/>
      <c r="M45" s="74">
        <v>746.68525</v>
      </c>
      <c r="N45" s="83"/>
      <c r="O45" s="58"/>
      <c r="P45" s="36"/>
      <c r="Q45" s="106">
        <f t="shared" si="0"/>
        <v>0.3772090174286436</v>
      </c>
    </row>
    <row r="46" spans="1:17" ht="51" x14ac:dyDescent="0.25">
      <c r="A46" s="18" t="s">
        <v>126</v>
      </c>
      <c r="B46" s="19" t="s">
        <v>14</v>
      </c>
      <c r="C46" s="497"/>
      <c r="D46" s="82"/>
      <c r="E46" s="69">
        <v>13939</v>
      </c>
      <c r="F46" s="83"/>
      <c r="G46" s="84"/>
      <c r="H46" s="82"/>
      <c r="I46" s="69">
        <v>13939</v>
      </c>
      <c r="J46" s="83"/>
      <c r="K46" s="85"/>
      <c r="L46" s="86"/>
      <c r="M46" s="74">
        <v>13939</v>
      </c>
      <c r="N46" s="83"/>
      <c r="O46" s="58"/>
      <c r="P46" s="36"/>
      <c r="Q46" s="106">
        <f t="shared" si="0"/>
        <v>1</v>
      </c>
    </row>
    <row r="47" spans="1:17" ht="102" x14ac:dyDescent="0.25">
      <c r="A47" s="18" t="s">
        <v>153</v>
      </c>
      <c r="B47" s="19" t="s">
        <v>154</v>
      </c>
      <c r="C47" s="497"/>
      <c r="D47" s="82"/>
      <c r="E47" s="69">
        <v>80.3</v>
      </c>
      <c r="F47" s="83"/>
      <c r="G47" s="84"/>
      <c r="H47" s="82"/>
      <c r="I47" s="69">
        <v>80.3</v>
      </c>
      <c r="J47" s="83"/>
      <c r="K47" s="85"/>
      <c r="L47" s="86"/>
      <c r="M47" s="74">
        <v>29.282</v>
      </c>
      <c r="N47" s="83"/>
      <c r="O47" s="58"/>
      <c r="P47" s="36"/>
      <c r="Q47" s="106">
        <f t="shared" si="0"/>
        <v>0.36465753424657538</v>
      </c>
    </row>
    <row r="48" spans="1:17" ht="63.75" x14ac:dyDescent="0.25">
      <c r="A48" s="18" t="s">
        <v>155</v>
      </c>
      <c r="B48" s="19" t="s">
        <v>156</v>
      </c>
      <c r="C48" s="497"/>
      <c r="D48" s="82"/>
      <c r="E48" s="69">
        <v>914.6</v>
      </c>
      <c r="F48" s="83"/>
      <c r="G48" s="84"/>
      <c r="H48" s="82"/>
      <c r="I48" s="69">
        <v>914.6</v>
      </c>
      <c r="J48" s="83"/>
      <c r="K48" s="85"/>
      <c r="L48" s="86"/>
      <c r="M48" s="74">
        <v>175.18899999999999</v>
      </c>
      <c r="N48" s="83"/>
      <c r="O48" s="58"/>
      <c r="P48" s="36"/>
      <c r="Q48" s="106">
        <f t="shared" si="0"/>
        <v>0.19154712442597857</v>
      </c>
    </row>
    <row r="49" spans="1:20" ht="38.25" x14ac:dyDescent="0.25">
      <c r="A49" s="18" t="s">
        <v>157</v>
      </c>
      <c r="B49" s="19" t="s">
        <v>71</v>
      </c>
      <c r="C49" s="497"/>
      <c r="D49" s="82"/>
      <c r="E49" s="69">
        <v>8502.9</v>
      </c>
      <c r="F49" s="83"/>
      <c r="G49" s="84"/>
      <c r="H49" s="82"/>
      <c r="I49" s="69">
        <v>8502.9</v>
      </c>
      <c r="J49" s="83"/>
      <c r="K49" s="85"/>
      <c r="L49" s="86"/>
      <c r="M49" s="74">
        <v>3212.0520000000001</v>
      </c>
      <c r="N49" s="83"/>
      <c r="O49" s="58"/>
      <c r="P49" s="36"/>
      <c r="Q49" s="106">
        <f t="shared" si="0"/>
        <v>0.37775958790530295</v>
      </c>
    </row>
    <row r="50" spans="1:20" ht="89.25" customHeight="1" x14ac:dyDescent="0.25">
      <c r="A50" s="18" t="s">
        <v>158</v>
      </c>
      <c r="B50" s="19" t="s">
        <v>159</v>
      </c>
      <c r="C50" s="497"/>
      <c r="D50" s="82"/>
      <c r="E50" s="69">
        <v>2100</v>
      </c>
      <c r="F50" s="83"/>
      <c r="G50" s="84"/>
      <c r="H50" s="82"/>
      <c r="I50" s="69">
        <v>2100</v>
      </c>
      <c r="J50" s="83"/>
      <c r="K50" s="85"/>
      <c r="L50" s="86"/>
      <c r="M50" s="74">
        <v>0</v>
      </c>
      <c r="N50" s="83"/>
      <c r="O50" s="58"/>
      <c r="P50" s="36"/>
      <c r="Q50" s="106">
        <f t="shared" si="0"/>
        <v>0</v>
      </c>
    </row>
    <row r="51" spans="1:20" ht="114.75" x14ac:dyDescent="0.25">
      <c r="A51" s="18" t="s">
        <v>160</v>
      </c>
      <c r="B51" s="19" t="s">
        <v>161</v>
      </c>
      <c r="C51" s="497" t="s">
        <v>393</v>
      </c>
      <c r="D51" s="82">
        <v>55153.4</v>
      </c>
      <c r="E51" s="69">
        <v>0</v>
      </c>
      <c r="F51" s="47"/>
      <c r="G51" s="92"/>
      <c r="H51" s="82">
        <v>34930.1</v>
      </c>
      <c r="I51" s="69">
        <v>0</v>
      </c>
      <c r="J51" s="47"/>
      <c r="K51" s="93"/>
      <c r="L51" s="82">
        <v>0</v>
      </c>
      <c r="M51" s="74"/>
      <c r="N51" s="47"/>
      <c r="O51" s="95"/>
      <c r="P51" s="232" t="s">
        <v>322</v>
      </c>
      <c r="Q51" s="108">
        <f>L51/D51</f>
        <v>0</v>
      </c>
    </row>
    <row r="52" spans="1:20" ht="90" x14ac:dyDescent="0.25">
      <c r="A52" s="18" t="s">
        <v>162</v>
      </c>
      <c r="B52" s="19" t="s">
        <v>163</v>
      </c>
      <c r="C52" s="497"/>
      <c r="D52" s="82">
        <v>116515.7</v>
      </c>
      <c r="E52" s="69">
        <v>0</v>
      </c>
      <c r="F52" s="47"/>
      <c r="G52" s="92"/>
      <c r="H52" s="82">
        <v>116515.7</v>
      </c>
      <c r="I52" s="69">
        <v>0</v>
      </c>
      <c r="J52" s="47"/>
      <c r="K52" s="93"/>
      <c r="L52" s="82">
        <v>100079.489</v>
      </c>
      <c r="M52" s="74"/>
      <c r="N52" s="47"/>
      <c r="O52" s="95"/>
      <c r="P52" s="232" t="s">
        <v>322</v>
      </c>
      <c r="Q52" s="108">
        <f t="shared" ref="Q52:Q55" si="2">L52/D52</f>
        <v>0.85893565416506101</v>
      </c>
    </row>
    <row r="53" spans="1:20" ht="90" x14ac:dyDescent="0.25">
      <c r="A53" s="18" t="s">
        <v>164</v>
      </c>
      <c r="B53" s="19" t="s">
        <v>72</v>
      </c>
      <c r="C53" s="497"/>
      <c r="D53" s="82">
        <v>317.39999999999998</v>
      </c>
      <c r="E53" s="69">
        <v>0</v>
      </c>
      <c r="F53" s="47"/>
      <c r="G53" s="92"/>
      <c r="H53" s="82">
        <v>317.39999999999998</v>
      </c>
      <c r="I53" s="69">
        <v>0</v>
      </c>
      <c r="J53" s="47"/>
      <c r="K53" s="93"/>
      <c r="L53" s="82">
        <v>75.741500000000002</v>
      </c>
      <c r="M53" s="74"/>
      <c r="N53" s="47"/>
      <c r="O53" s="95"/>
      <c r="P53" s="232" t="s">
        <v>322</v>
      </c>
      <c r="Q53" s="108">
        <f t="shared" si="2"/>
        <v>0.23863106490233146</v>
      </c>
    </row>
    <row r="54" spans="1:20" ht="90" x14ac:dyDescent="0.25">
      <c r="A54" s="18" t="s">
        <v>165</v>
      </c>
      <c r="B54" s="19" t="s">
        <v>73</v>
      </c>
      <c r="C54" s="497"/>
      <c r="D54" s="82">
        <v>958208.4</v>
      </c>
      <c r="E54" s="69">
        <v>0</v>
      </c>
      <c r="F54" s="47"/>
      <c r="G54" s="92"/>
      <c r="H54" s="82">
        <v>820000</v>
      </c>
      <c r="I54" s="69">
        <v>0</v>
      </c>
      <c r="J54" s="47"/>
      <c r="K54" s="93"/>
      <c r="L54" s="82">
        <v>437878.68248000002</v>
      </c>
      <c r="M54" s="74"/>
      <c r="N54" s="47"/>
      <c r="O54" s="95"/>
      <c r="P54" s="232" t="s">
        <v>322</v>
      </c>
      <c r="Q54" s="108">
        <f t="shared" si="2"/>
        <v>0.45697645990162472</v>
      </c>
    </row>
    <row r="55" spans="1:20" ht="90" x14ac:dyDescent="0.25">
      <c r="A55" s="18" t="s">
        <v>166</v>
      </c>
      <c r="B55" s="19" t="s">
        <v>74</v>
      </c>
      <c r="C55" s="497"/>
      <c r="D55" s="82">
        <v>1103.8</v>
      </c>
      <c r="E55" s="69">
        <v>0</v>
      </c>
      <c r="F55" s="47"/>
      <c r="G55" s="92"/>
      <c r="H55" s="82">
        <v>993.4</v>
      </c>
      <c r="I55" s="69">
        <v>0</v>
      </c>
      <c r="J55" s="47"/>
      <c r="K55" s="93"/>
      <c r="L55" s="82">
        <v>25.37312</v>
      </c>
      <c r="M55" s="74"/>
      <c r="N55" s="47"/>
      <c r="O55" s="95"/>
      <c r="P55" s="232" t="s">
        <v>322</v>
      </c>
      <c r="Q55" s="108">
        <f t="shared" si="2"/>
        <v>2.2987062873709007E-2</v>
      </c>
    </row>
    <row r="56" spans="1:20" ht="102" x14ac:dyDescent="0.25">
      <c r="A56" s="18" t="s">
        <v>167</v>
      </c>
      <c r="B56" s="19" t="s">
        <v>75</v>
      </c>
      <c r="C56" s="497"/>
      <c r="D56" s="82"/>
      <c r="E56" s="69">
        <v>553383.80000000005</v>
      </c>
      <c r="F56" s="47"/>
      <c r="G56" s="92"/>
      <c r="H56" s="82"/>
      <c r="I56" s="69">
        <v>553383.80000000005</v>
      </c>
      <c r="J56" s="47"/>
      <c r="K56" s="93"/>
      <c r="L56" s="82"/>
      <c r="M56" s="74">
        <v>255886.00795999999</v>
      </c>
      <c r="N56" s="47"/>
      <c r="O56" s="95"/>
      <c r="P56" s="63"/>
      <c r="Q56" s="108">
        <f t="shared" si="0"/>
        <v>0.46240241936970322</v>
      </c>
    </row>
    <row r="57" spans="1:20" ht="102" customHeight="1" x14ac:dyDescent="0.25">
      <c r="A57" s="18" t="s">
        <v>168</v>
      </c>
      <c r="B57" s="19" t="s">
        <v>169</v>
      </c>
      <c r="C57" s="497"/>
      <c r="D57" s="82"/>
      <c r="E57" s="69">
        <v>257938.8</v>
      </c>
      <c r="F57" s="47"/>
      <c r="G57" s="92"/>
      <c r="H57" s="82"/>
      <c r="I57" s="69">
        <v>257938.8</v>
      </c>
      <c r="J57" s="47"/>
      <c r="K57" s="93"/>
      <c r="L57" s="82"/>
      <c r="M57" s="74">
        <v>109586.792</v>
      </c>
      <c r="N57" s="47"/>
      <c r="O57" s="95"/>
      <c r="P57" s="63"/>
      <c r="Q57" s="108">
        <f t="shared" si="0"/>
        <v>0.42485578749687913</v>
      </c>
    </row>
    <row r="58" spans="1:20" ht="115.5" thickBot="1" x14ac:dyDescent="0.3">
      <c r="A58" s="109" t="s">
        <v>318</v>
      </c>
      <c r="B58" s="110" t="s">
        <v>319</v>
      </c>
      <c r="C58" s="53" t="s">
        <v>393</v>
      </c>
      <c r="D58" s="111"/>
      <c r="E58" s="112">
        <v>10000</v>
      </c>
      <c r="F58" s="113"/>
      <c r="G58" s="114"/>
      <c r="H58" s="111"/>
      <c r="I58" s="112">
        <v>10000</v>
      </c>
      <c r="J58" s="113"/>
      <c r="K58" s="115"/>
      <c r="L58" s="111"/>
      <c r="M58" s="116">
        <v>0</v>
      </c>
      <c r="N58" s="113"/>
      <c r="O58" s="117"/>
      <c r="P58" s="118"/>
      <c r="Q58" s="108">
        <f t="shared" si="0"/>
        <v>0</v>
      </c>
    </row>
    <row r="59" spans="1:20" s="7" customFormat="1" ht="15.75" thickBot="1" x14ac:dyDescent="0.3">
      <c r="A59" s="119"/>
      <c r="B59" s="120" t="s">
        <v>10</v>
      </c>
      <c r="C59" s="121"/>
      <c r="D59" s="128">
        <f>D9+D10+D11+D15+D56+D58+D14+D57</f>
        <v>1131298.7</v>
      </c>
      <c r="E59" s="122">
        <f>E9+E10+E11+E15+E56+E58+E14+E57</f>
        <v>4288387.4999999991</v>
      </c>
      <c r="F59" s="123"/>
      <c r="G59" s="124"/>
      <c r="H59" s="128">
        <f>H9+H10+H11+H15+H56+H58+H14+H57</f>
        <v>972756.6</v>
      </c>
      <c r="I59" s="122">
        <f>I9+I10+I11+I15+I56+I58+I14+I57</f>
        <v>4287346.7999999989</v>
      </c>
      <c r="J59" s="123"/>
      <c r="K59" s="124"/>
      <c r="L59" s="127">
        <f>L9+L10+L11+L15+L56+L58+L14+L57</f>
        <v>538059.28610000003</v>
      </c>
      <c r="M59" s="122">
        <f>M9+M10+M11+M15+M56+M58+M14+M57</f>
        <v>2839035.1903899997</v>
      </c>
      <c r="N59" s="123"/>
      <c r="O59" s="125"/>
      <c r="P59" s="126"/>
      <c r="Q59" s="106">
        <f>L59/D59</f>
        <v>0.47561204313237526</v>
      </c>
      <c r="R59" s="108">
        <f>M59/E59</f>
        <v>0.66202860408253694</v>
      </c>
      <c r="S59" s="7">
        <v>5257454.0999999996</v>
      </c>
      <c r="T59" s="374">
        <f>S59-D59-E59</f>
        <v>-162232.09999999963</v>
      </c>
    </row>
    <row r="60" spans="1:20" ht="19.5" thickBot="1" x14ac:dyDescent="0.35">
      <c r="A60" s="512" t="s">
        <v>15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513"/>
      <c r="M60" s="513"/>
      <c r="N60" s="513"/>
      <c r="O60" s="513"/>
      <c r="P60" s="514"/>
      <c r="Q60" s="106"/>
    </row>
    <row r="61" spans="1:20" ht="38.25" customHeight="1" x14ac:dyDescent="0.25">
      <c r="A61" s="208" t="s">
        <v>170</v>
      </c>
      <c r="B61" s="209" t="s">
        <v>76</v>
      </c>
      <c r="C61" s="499" t="s">
        <v>393</v>
      </c>
      <c r="D61" s="168"/>
      <c r="E61" s="210">
        <v>191273.1</v>
      </c>
      <c r="F61" s="211"/>
      <c r="G61" s="212"/>
      <c r="H61" s="168"/>
      <c r="I61" s="210">
        <v>191273.1</v>
      </c>
      <c r="J61" s="211"/>
      <c r="K61" s="213"/>
      <c r="L61" s="214"/>
      <c r="M61" s="215">
        <v>104165.41293000001</v>
      </c>
      <c r="N61" s="149"/>
      <c r="O61" s="150"/>
      <c r="P61" s="151"/>
      <c r="Q61" s="106">
        <f t="shared" si="0"/>
        <v>0.54458997595584535</v>
      </c>
    </row>
    <row r="62" spans="1:20" ht="76.5" x14ac:dyDescent="0.25">
      <c r="A62" s="18" t="s">
        <v>171</v>
      </c>
      <c r="B62" s="19" t="s">
        <v>77</v>
      </c>
      <c r="C62" s="497"/>
      <c r="D62" s="82"/>
      <c r="E62" s="69">
        <v>6500</v>
      </c>
      <c r="F62" s="83"/>
      <c r="G62" s="84"/>
      <c r="H62" s="82"/>
      <c r="I62" s="69">
        <v>6500</v>
      </c>
      <c r="J62" s="83"/>
      <c r="K62" s="85"/>
      <c r="L62" s="86"/>
      <c r="M62" s="74">
        <v>1600</v>
      </c>
      <c r="N62" s="23"/>
      <c r="O62" s="58"/>
      <c r="P62" s="36"/>
      <c r="Q62" s="106">
        <f t="shared" si="0"/>
        <v>0.24615384615384617</v>
      </c>
    </row>
    <row r="63" spans="1:20" ht="76.5" x14ac:dyDescent="0.25">
      <c r="A63" s="18" t="s">
        <v>172</v>
      </c>
      <c r="B63" s="19" t="s">
        <v>173</v>
      </c>
      <c r="C63" s="497"/>
      <c r="D63" s="82"/>
      <c r="E63" s="69">
        <v>3048.4</v>
      </c>
      <c r="F63" s="83"/>
      <c r="G63" s="84"/>
      <c r="H63" s="82"/>
      <c r="I63" s="69">
        <v>3048.4</v>
      </c>
      <c r="J63" s="83"/>
      <c r="K63" s="85"/>
      <c r="L63" s="86"/>
      <c r="M63" s="74">
        <v>1047.51623</v>
      </c>
      <c r="N63" s="23"/>
      <c r="O63" s="58"/>
      <c r="P63" s="36"/>
      <c r="Q63" s="106">
        <f t="shared" si="0"/>
        <v>0.34362820824038837</v>
      </c>
    </row>
    <row r="64" spans="1:20" ht="89.25" x14ac:dyDescent="0.25">
      <c r="A64" s="18" t="s">
        <v>174</v>
      </c>
      <c r="B64" s="19" t="s">
        <v>78</v>
      </c>
      <c r="C64" s="497"/>
      <c r="D64" s="82"/>
      <c r="E64" s="69">
        <v>3945.6</v>
      </c>
      <c r="F64" s="83"/>
      <c r="G64" s="84"/>
      <c r="H64" s="82"/>
      <c r="I64" s="69">
        <v>3945.6</v>
      </c>
      <c r="J64" s="83"/>
      <c r="K64" s="85"/>
      <c r="L64" s="86"/>
      <c r="M64" s="74">
        <v>1198.6172200000001</v>
      </c>
      <c r="N64" s="23"/>
      <c r="O64" s="58"/>
      <c r="P64" s="36"/>
      <c r="Q64" s="106">
        <f t="shared" si="0"/>
        <v>0.30378579176804543</v>
      </c>
    </row>
    <row r="65" spans="1:17" ht="178.5" x14ac:dyDescent="0.25">
      <c r="A65" s="18" t="s">
        <v>175</v>
      </c>
      <c r="B65" s="19" t="s">
        <v>176</v>
      </c>
      <c r="C65" s="497"/>
      <c r="D65" s="82"/>
      <c r="E65" s="69">
        <v>9743</v>
      </c>
      <c r="F65" s="83"/>
      <c r="G65" s="84"/>
      <c r="H65" s="82"/>
      <c r="I65" s="69">
        <v>9743</v>
      </c>
      <c r="J65" s="83"/>
      <c r="K65" s="85"/>
      <c r="L65" s="86"/>
      <c r="M65" s="74">
        <v>6709.9229999999998</v>
      </c>
      <c r="N65" s="23"/>
      <c r="O65" s="58"/>
      <c r="P65" s="36"/>
      <c r="Q65" s="106">
        <f t="shared" si="0"/>
        <v>0.68869167607513082</v>
      </c>
    </row>
    <row r="66" spans="1:17" ht="63.75" customHeight="1" x14ac:dyDescent="0.25">
      <c r="A66" s="18" t="s">
        <v>177</v>
      </c>
      <c r="B66" s="19" t="s">
        <v>79</v>
      </c>
      <c r="C66" s="497"/>
      <c r="D66" s="82"/>
      <c r="E66" s="69">
        <v>411045</v>
      </c>
      <c r="F66" s="83"/>
      <c r="G66" s="84"/>
      <c r="H66" s="82"/>
      <c r="I66" s="69">
        <v>411045</v>
      </c>
      <c r="J66" s="83"/>
      <c r="K66" s="85"/>
      <c r="L66" s="86"/>
      <c r="M66" s="74">
        <v>281838.31300000002</v>
      </c>
      <c r="N66" s="23"/>
      <c r="O66" s="58"/>
      <c r="P66" s="36"/>
      <c r="Q66" s="106">
        <f t="shared" si="0"/>
        <v>0.68566291525258793</v>
      </c>
    </row>
    <row r="67" spans="1:17" ht="38.25" x14ac:dyDescent="0.25">
      <c r="A67" s="18" t="s">
        <v>178</v>
      </c>
      <c r="B67" s="19" t="s">
        <v>80</v>
      </c>
      <c r="C67" s="497"/>
      <c r="D67" s="82"/>
      <c r="E67" s="69">
        <v>13435.4</v>
      </c>
      <c r="F67" s="83"/>
      <c r="G67" s="84"/>
      <c r="H67" s="82"/>
      <c r="I67" s="69">
        <v>13435.4</v>
      </c>
      <c r="J67" s="83"/>
      <c r="K67" s="85"/>
      <c r="L67" s="86"/>
      <c r="M67" s="74">
        <v>9128.6720000000005</v>
      </c>
      <c r="N67" s="23"/>
      <c r="O67" s="58"/>
      <c r="P67" s="36"/>
      <c r="Q67" s="106">
        <f t="shared" si="0"/>
        <v>0.6794492162496093</v>
      </c>
    </row>
    <row r="68" spans="1:17" ht="102" customHeight="1" x14ac:dyDescent="0.25">
      <c r="A68" s="18" t="s">
        <v>179</v>
      </c>
      <c r="B68" s="19" t="s">
        <v>180</v>
      </c>
      <c r="C68" s="497" t="s">
        <v>393</v>
      </c>
      <c r="D68" s="82"/>
      <c r="E68" s="69">
        <v>151</v>
      </c>
      <c r="F68" s="83"/>
      <c r="G68" s="84"/>
      <c r="H68" s="82"/>
      <c r="I68" s="69">
        <v>151</v>
      </c>
      <c r="J68" s="83"/>
      <c r="K68" s="85"/>
      <c r="L68" s="86"/>
      <c r="M68" s="74">
        <v>0</v>
      </c>
      <c r="N68" s="23"/>
      <c r="O68" s="58"/>
      <c r="P68" s="36"/>
      <c r="Q68" s="106">
        <f t="shared" si="0"/>
        <v>0</v>
      </c>
    </row>
    <row r="69" spans="1:17" ht="127.5" x14ac:dyDescent="0.25">
      <c r="A69" s="18" t="s">
        <v>181</v>
      </c>
      <c r="B69" s="19" t="s">
        <v>182</v>
      </c>
      <c r="C69" s="497"/>
      <c r="D69" s="82"/>
      <c r="E69" s="69">
        <v>490</v>
      </c>
      <c r="F69" s="83"/>
      <c r="G69" s="84"/>
      <c r="H69" s="82"/>
      <c r="I69" s="69">
        <v>490</v>
      </c>
      <c r="J69" s="83"/>
      <c r="K69" s="85"/>
      <c r="L69" s="86"/>
      <c r="M69" s="74">
        <v>333.65</v>
      </c>
      <c r="N69" s="23"/>
      <c r="O69" s="58"/>
      <c r="P69" s="36"/>
      <c r="Q69" s="106">
        <f t="shared" si="0"/>
        <v>0.68091836734693878</v>
      </c>
    </row>
    <row r="70" spans="1:17" ht="38.25" x14ac:dyDescent="0.25">
      <c r="A70" s="21" t="s">
        <v>183</v>
      </c>
      <c r="B70" s="22" t="s">
        <v>38</v>
      </c>
      <c r="C70" s="497"/>
      <c r="D70" s="90">
        <f>SUM(D71:D83)</f>
        <v>636827.5</v>
      </c>
      <c r="E70" s="89">
        <f>SUM(E71:E83)</f>
        <v>691606.4</v>
      </c>
      <c r="F70" s="87"/>
      <c r="G70" s="91"/>
      <c r="H70" s="90">
        <f>SUM(H71:H83)</f>
        <v>636827.5</v>
      </c>
      <c r="I70" s="89">
        <f>SUM(I71:I83)</f>
        <v>691606.4</v>
      </c>
      <c r="J70" s="87"/>
      <c r="K70" s="88"/>
      <c r="L70" s="90">
        <f>SUM(L71:L83)</f>
        <v>335404.63613</v>
      </c>
      <c r="M70" s="89">
        <f>SUM(M71:M83)</f>
        <v>432550.69146</v>
      </c>
      <c r="N70" s="25"/>
      <c r="O70" s="94"/>
      <c r="P70" s="34"/>
      <c r="Q70" s="106">
        <f t="shared" si="0"/>
        <v>0.6254289888873209</v>
      </c>
    </row>
    <row r="71" spans="1:17" ht="25.5" x14ac:dyDescent="0.25">
      <c r="A71" s="18" t="s">
        <v>184</v>
      </c>
      <c r="B71" s="19" t="s">
        <v>81</v>
      </c>
      <c r="C71" s="497"/>
      <c r="D71" s="82"/>
      <c r="E71" s="69">
        <v>164655.29999999999</v>
      </c>
      <c r="F71" s="83"/>
      <c r="G71" s="84"/>
      <c r="H71" s="82"/>
      <c r="I71" s="69">
        <v>164655.29999999999</v>
      </c>
      <c r="J71" s="83"/>
      <c r="K71" s="85"/>
      <c r="L71" s="86"/>
      <c r="M71" s="74">
        <v>106741.40712</v>
      </c>
      <c r="N71" s="23"/>
      <c r="O71" s="58"/>
      <c r="P71" s="36"/>
      <c r="Q71" s="106">
        <f t="shared" si="0"/>
        <v>0.64827191787935168</v>
      </c>
    </row>
    <row r="72" spans="1:17" ht="127.5" x14ac:dyDescent="0.25">
      <c r="A72" s="18" t="s">
        <v>185</v>
      </c>
      <c r="B72" s="19" t="s">
        <v>82</v>
      </c>
      <c r="C72" s="497"/>
      <c r="D72" s="82"/>
      <c r="E72" s="69">
        <v>597.70000000000005</v>
      </c>
      <c r="F72" s="47"/>
      <c r="G72" s="92"/>
      <c r="H72" s="82"/>
      <c r="I72" s="69">
        <v>597.70000000000005</v>
      </c>
      <c r="J72" s="47"/>
      <c r="K72" s="93"/>
      <c r="L72" s="82"/>
      <c r="M72" s="74">
        <v>380.35027000000002</v>
      </c>
      <c r="N72" s="46"/>
      <c r="O72" s="95"/>
      <c r="P72" s="63"/>
      <c r="Q72" s="106">
        <f t="shared" si="0"/>
        <v>0.63635648318554461</v>
      </c>
    </row>
    <row r="73" spans="1:17" ht="25.5" x14ac:dyDescent="0.25">
      <c r="A73" s="18" t="s">
        <v>186</v>
      </c>
      <c r="B73" s="19" t="s">
        <v>83</v>
      </c>
      <c r="C73" s="497"/>
      <c r="D73" s="82"/>
      <c r="E73" s="69">
        <v>126440.6</v>
      </c>
      <c r="F73" s="47"/>
      <c r="G73" s="92"/>
      <c r="H73" s="82"/>
      <c r="I73" s="69">
        <v>126440.6</v>
      </c>
      <c r="J73" s="47"/>
      <c r="K73" s="93"/>
      <c r="L73" s="82"/>
      <c r="M73" s="74">
        <v>36891.249689999997</v>
      </c>
      <c r="N73" s="46"/>
      <c r="O73" s="95"/>
      <c r="P73" s="63"/>
      <c r="Q73" s="106">
        <f t="shared" si="0"/>
        <v>0.29176743617160938</v>
      </c>
    </row>
    <row r="74" spans="1:17" ht="38.25" x14ac:dyDescent="0.25">
      <c r="A74" s="18" t="s">
        <v>187</v>
      </c>
      <c r="B74" s="19" t="s">
        <v>84</v>
      </c>
      <c r="C74" s="497"/>
      <c r="D74" s="82"/>
      <c r="E74" s="69">
        <v>253.8</v>
      </c>
      <c r="F74" s="47"/>
      <c r="G74" s="92"/>
      <c r="H74" s="82"/>
      <c r="I74" s="69">
        <v>253.8</v>
      </c>
      <c r="J74" s="47"/>
      <c r="K74" s="93"/>
      <c r="L74" s="82"/>
      <c r="M74" s="74">
        <v>0</v>
      </c>
      <c r="N74" s="46"/>
      <c r="O74" s="95"/>
      <c r="P74" s="63"/>
      <c r="Q74" s="106">
        <f t="shared" ref="Q74:Q137" si="3">M74/E74</f>
        <v>0</v>
      </c>
    </row>
    <row r="75" spans="1:17" ht="56.25" x14ac:dyDescent="0.25">
      <c r="A75" s="18" t="s">
        <v>188</v>
      </c>
      <c r="B75" s="19" t="s">
        <v>189</v>
      </c>
      <c r="C75" s="497"/>
      <c r="D75" s="82">
        <v>176770.4</v>
      </c>
      <c r="E75" s="69">
        <v>125212.1</v>
      </c>
      <c r="F75" s="47"/>
      <c r="G75" s="92"/>
      <c r="H75" s="82">
        <v>176770.4</v>
      </c>
      <c r="I75" s="69">
        <v>125212.1</v>
      </c>
      <c r="J75" s="47"/>
      <c r="K75" s="93"/>
      <c r="L75" s="82">
        <v>103325.67813</v>
      </c>
      <c r="M75" s="74">
        <v>73693.558999999994</v>
      </c>
      <c r="N75" s="46"/>
      <c r="O75" s="95"/>
      <c r="P75" s="232" t="s">
        <v>323</v>
      </c>
      <c r="Q75" s="106">
        <f t="shared" si="3"/>
        <v>0.58854982066429673</v>
      </c>
    </row>
    <row r="76" spans="1:17" ht="63.75" x14ac:dyDescent="0.25">
      <c r="A76" s="18" t="s">
        <v>190</v>
      </c>
      <c r="B76" s="19" t="s">
        <v>191</v>
      </c>
      <c r="C76" s="497"/>
      <c r="D76" s="82"/>
      <c r="E76" s="69">
        <v>163.5</v>
      </c>
      <c r="F76" s="47"/>
      <c r="G76" s="92"/>
      <c r="H76" s="82"/>
      <c r="I76" s="69">
        <v>163.5</v>
      </c>
      <c r="J76" s="47"/>
      <c r="K76" s="93"/>
      <c r="L76" s="82"/>
      <c r="M76" s="74">
        <v>86.326909999999998</v>
      </c>
      <c r="N76" s="46"/>
      <c r="O76" s="95"/>
      <c r="P76" s="63"/>
      <c r="Q76" s="106">
        <f t="shared" si="3"/>
        <v>0.52799333333333331</v>
      </c>
    </row>
    <row r="77" spans="1:17" ht="51" x14ac:dyDescent="0.25">
      <c r="A77" s="18" t="s">
        <v>192</v>
      </c>
      <c r="B77" s="19" t="s">
        <v>85</v>
      </c>
      <c r="C77" s="497"/>
      <c r="D77" s="82"/>
      <c r="E77" s="69">
        <v>271728.90000000002</v>
      </c>
      <c r="F77" s="47"/>
      <c r="G77" s="92"/>
      <c r="H77" s="82"/>
      <c r="I77" s="69">
        <v>271728.90000000002</v>
      </c>
      <c r="J77" s="47"/>
      <c r="K77" s="93"/>
      <c r="L77" s="82"/>
      <c r="M77" s="74">
        <v>213714.97099999999</v>
      </c>
      <c r="N77" s="46"/>
      <c r="O77" s="95"/>
      <c r="P77" s="63"/>
      <c r="Q77" s="106">
        <f t="shared" si="3"/>
        <v>0.78650070345848366</v>
      </c>
    </row>
    <row r="78" spans="1:17" ht="76.5" x14ac:dyDescent="0.25">
      <c r="A78" s="18" t="s">
        <v>193</v>
      </c>
      <c r="B78" s="19" t="s">
        <v>86</v>
      </c>
      <c r="C78" s="497" t="s">
        <v>393</v>
      </c>
      <c r="D78" s="82"/>
      <c r="E78" s="69">
        <v>2554.5</v>
      </c>
      <c r="F78" s="47"/>
      <c r="G78" s="92"/>
      <c r="H78" s="82"/>
      <c r="I78" s="69">
        <v>2554.5</v>
      </c>
      <c r="J78" s="47"/>
      <c r="K78" s="93"/>
      <c r="L78" s="82"/>
      <c r="M78" s="74">
        <v>1042.8274699999999</v>
      </c>
      <c r="N78" s="46"/>
      <c r="O78" s="95"/>
      <c r="P78" s="231"/>
      <c r="Q78" s="106">
        <f t="shared" si="3"/>
        <v>0.40823154041886867</v>
      </c>
    </row>
    <row r="79" spans="1:17" ht="90" x14ac:dyDescent="0.25">
      <c r="A79" s="18" t="s">
        <v>194</v>
      </c>
      <c r="B79" s="19" t="s">
        <v>87</v>
      </c>
      <c r="C79" s="497"/>
      <c r="D79" s="82">
        <v>9325.2000000000007</v>
      </c>
      <c r="E79" s="69"/>
      <c r="F79" s="47"/>
      <c r="G79" s="92"/>
      <c r="H79" s="82">
        <v>9325.2000000000007</v>
      </c>
      <c r="I79" s="69"/>
      <c r="J79" s="47"/>
      <c r="K79" s="93"/>
      <c r="L79" s="82">
        <v>3168.692</v>
      </c>
      <c r="M79" s="74"/>
      <c r="N79" s="46"/>
      <c r="O79" s="95"/>
      <c r="P79" s="232" t="s">
        <v>322</v>
      </c>
      <c r="Q79" s="106">
        <f>L79/D79</f>
        <v>0.33979882469008704</v>
      </c>
    </row>
    <row r="80" spans="1:17" ht="90" customHeight="1" x14ac:dyDescent="0.25">
      <c r="A80" s="18" t="s">
        <v>195</v>
      </c>
      <c r="B80" s="19" t="s">
        <v>88</v>
      </c>
      <c r="C80" s="497"/>
      <c r="D80" s="82">
        <v>403394.1</v>
      </c>
      <c r="E80" s="69"/>
      <c r="F80" s="47"/>
      <c r="G80" s="92"/>
      <c r="H80" s="82">
        <v>403394.1</v>
      </c>
      <c r="I80" s="69"/>
      <c r="J80" s="47"/>
      <c r="K80" s="93"/>
      <c r="L80" s="82">
        <v>208420.323</v>
      </c>
      <c r="M80" s="74"/>
      <c r="N80" s="46"/>
      <c r="O80" s="95"/>
      <c r="P80" s="232" t="s">
        <v>322</v>
      </c>
      <c r="Q80" s="106">
        <f t="shared" ref="Q80:Q86" si="4">L80/D80</f>
        <v>0.51666676086735031</v>
      </c>
    </row>
    <row r="81" spans="1:20" ht="90" x14ac:dyDescent="0.25">
      <c r="A81" s="18" t="s">
        <v>196</v>
      </c>
      <c r="B81" s="19" t="s">
        <v>89</v>
      </c>
      <c r="C81" s="497"/>
      <c r="D81" s="82">
        <v>2.5</v>
      </c>
      <c r="E81" s="69"/>
      <c r="F81" s="47"/>
      <c r="G81" s="92"/>
      <c r="H81" s="82">
        <v>2.5</v>
      </c>
      <c r="I81" s="69"/>
      <c r="J81" s="47"/>
      <c r="K81" s="93"/>
      <c r="L81" s="82">
        <v>0</v>
      </c>
      <c r="M81" s="74"/>
      <c r="N81" s="46"/>
      <c r="O81" s="95"/>
      <c r="P81" s="232" t="s">
        <v>322</v>
      </c>
      <c r="Q81" s="106">
        <f t="shared" si="4"/>
        <v>0</v>
      </c>
    </row>
    <row r="82" spans="1:20" ht="102" x14ac:dyDescent="0.25">
      <c r="A82" s="18" t="s">
        <v>197</v>
      </c>
      <c r="B82" s="19" t="s">
        <v>90</v>
      </c>
      <c r="C82" s="497"/>
      <c r="D82" s="82">
        <v>0.5</v>
      </c>
      <c r="E82" s="69"/>
      <c r="F82" s="47"/>
      <c r="G82" s="92"/>
      <c r="H82" s="82">
        <v>0.5</v>
      </c>
      <c r="I82" s="69"/>
      <c r="J82" s="47"/>
      <c r="K82" s="93"/>
      <c r="L82" s="82">
        <v>0</v>
      </c>
      <c r="M82" s="74"/>
      <c r="N82" s="46"/>
      <c r="O82" s="95"/>
      <c r="P82" s="232" t="s">
        <v>322</v>
      </c>
      <c r="Q82" s="106">
        <f t="shared" si="4"/>
        <v>0</v>
      </c>
    </row>
    <row r="83" spans="1:20" ht="90" x14ac:dyDescent="0.25">
      <c r="A83" s="18" t="s">
        <v>198</v>
      </c>
      <c r="B83" s="19" t="s">
        <v>91</v>
      </c>
      <c r="C83" s="497"/>
      <c r="D83" s="82">
        <v>47334.8</v>
      </c>
      <c r="E83" s="69"/>
      <c r="F83" s="47"/>
      <c r="G83" s="92"/>
      <c r="H83" s="82">
        <v>47334.8</v>
      </c>
      <c r="I83" s="69"/>
      <c r="J83" s="47"/>
      <c r="K83" s="93"/>
      <c r="L83" s="82">
        <v>20489.942999999999</v>
      </c>
      <c r="M83" s="74"/>
      <c r="N83" s="46"/>
      <c r="O83" s="95"/>
      <c r="P83" s="232" t="s">
        <v>322</v>
      </c>
      <c r="Q83" s="106">
        <f t="shared" si="4"/>
        <v>0.43287270676119893</v>
      </c>
    </row>
    <row r="84" spans="1:20" ht="63.75" x14ac:dyDescent="0.25">
      <c r="A84" s="18" t="s">
        <v>199</v>
      </c>
      <c r="B84" s="19" t="s">
        <v>200</v>
      </c>
      <c r="C84" s="497"/>
      <c r="D84" s="82"/>
      <c r="E84" s="69">
        <v>1692.6</v>
      </c>
      <c r="F84" s="47"/>
      <c r="G84" s="92"/>
      <c r="H84" s="82"/>
      <c r="I84" s="69">
        <v>1692.6</v>
      </c>
      <c r="J84" s="47"/>
      <c r="K84" s="93"/>
      <c r="L84" s="82"/>
      <c r="M84" s="74">
        <v>498.07499999999999</v>
      </c>
      <c r="N84" s="46"/>
      <c r="O84" s="95"/>
      <c r="P84" s="231"/>
      <c r="Q84" s="106">
        <f t="shared" si="3"/>
        <v>0.29426621765331445</v>
      </c>
    </row>
    <row r="85" spans="1:20" ht="90" x14ac:dyDescent="0.25">
      <c r="A85" s="18" t="s">
        <v>201</v>
      </c>
      <c r="B85" s="19" t="s">
        <v>92</v>
      </c>
      <c r="C85" s="497"/>
      <c r="D85" s="82">
        <v>10427.5</v>
      </c>
      <c r="E85" s="69"/>
      <c r="F85" s="47"/>
      <c r="G85" s="92"/>
      <c r="H85" s="82">
        <v>7729.2</v>
      </c>
      <c r="I85" s="69"/>
      <c r="J85" s="47"/>
      <c r="K85" s="93"/>
      <c r="L85" s="82">
        <v>3371.8583199999998</v>
      </c>
      <c r="M85" s="74"/>
      <c r="N85" s="46"/>
      <c r="O85" s="95"/>
      <c r="P85" s="232" t="s">
        <v>322</v>
      </c>
      <c r="Q85" s="106">
        <f t="shared" si="4"/>
        <v>0.32336210213378086</v>
      </c>
    </row>
    <row r="86" spans="1:20" ht="90" x14ac:dyDescent="0.25">
      <c r="A86" s="18" t="s">
        <v>202</v>
      </c>
      <c r="B86" s="19" t="s">
        <v>93</v>
      </c>
      <c r="C86" s="497" t="s">
        <v>393</v>
      </c>
      <c r="D86" s="82">
        <v>101</v>
      </c>
      <c r="E86" s="69"/>
      <c r="F86" s="47"/>
      <c r="G86" s="92"/>
      <c r="H86" s="82">
        <v>90.9</v>
      </c>
      <c r="I86" s="69"/>
      <c r="J86" s="47"/>
      <c r="K86" s="93"/>
      <c r="L86" s="82"/>
      <c r="M86" s="74"/>
      <c r="N86" s="46"/>
      <c r="O86" s="95"/>
      <c r="P86" s="232" t="s">
        <v>322</v>
      </c>
      <c r="Q86" s="106">
        <f t="shared" si="4"/>
        <v>0</v>
      </c>
    </row>
    <row r="87" spans="1:20" ht="102" x14ac:dyDescent="0.25">
      <c r="A87" s="18" t="s">
        <v>203</v>
      </c>
      <c r="B87" s="19" t="s">
        <v>94</v>
      </c>
      <c r="C87" s="498"/>
      <c r="D87" s="82"/>
      <c r="E87" s="69">
        <v>511753.5</v>
      </c>
      <c r="F87" s="47"/>
      <c r="G87" s="92"/>
      <c r="H87" s="82"/>
      <c r="I87" s="69">
        <v>511753.5</v>
      </c>
      <c r="J87" s="47"/>
      <c r="K87" s="93"/>
      <c r="L87" s="82"/>
      <c r="M87" s="74">
        <v>230480.8</v>
      </c>
      <c r="N87" s="46"/>
      <c r="O87" s="95"/>
      <c r="P87" s="63"/>
      <c r="Q87" s="106">
        <f t="shared" si="3"/>
        <v>0.45037464326086679</v>
      </c>
    </row>
    <row r="88" spans="1:20" ht="153.75" thickBot="1" x14ac:dyDescent="0.3">
      <c r="A88" s="18" t="s">
        <v>204</v>
      </c>
      <c r="B88" s="110" t="s">
        <v>205</v>
      </c>
      <c r="C88" s="187" t="s">
        <v>288</v>
      </c>
      <c r="D88" s="111"/>
      <c r="E88" s="112">
        <v>21556.1</v>
      </c>
      <c r="F88" s="113"/>
      <c r="G88" s="114"/>
      <c r="H88" s="111"/>
      <c r="I88" s="112">
        <v>24785.1</v>
      </c>
      <c r="J88" s="113"/>
      <c r="K88" s="115"/>
      <c r="L88" s="111"/>
      <c r="M88" s="116">
        <v>11664.3</v>
      </c>
      <c r="N88" s="188"/>
      <c r="O88" s="117"/>
      <c r="P88" s="118"/>
      <c r="Q88" s="106">
        <f t="shared" si="3"/>
        <v>0.54111365228404029</v>
      </c>
    </row>
    <row r="89" spans="1:20" s="7" customFormat="1" ht="15.75" thickBot="1" x14ac:dyDescent="0.3">
      <c r="A89" s="189"/>
      <c r="B89" s="190" t="s">
        <v>10</v>
      </c>
      <c r="C89" s="191"/>
      <c r="D89" s="192">
        <f>D61+D62+D63+D64+D65+D66+D67+D68+D69+D70+D84+D85+D86+D87+D88</f>
        <v>647356</v>
      </c>
      <c r="E89" s="193">
        <f>E61+E62+E63+E64+E65+E66+E67+E68+E69+E70+E84+E85+E86+E87+E88</f>
        <v>1866240.1</v>
      </c>
      <c r="F89" s="194"/>
      <c r="G89" s="195"/>
      <c r="H89" s="192">
        <f>H61+H62+H63+H64+H65+H66+H67+H68+H69+H70+H84+H85+H86+H87+H88</f>
        <v>644647.6</v>
      </c>
      <c r="I89" s="193">
        <f>I61+I62+I63+I64+I65+I66+I67+I68+I69+I70+I84+I85+I86+I87+I88</f>
        <v>1869469.1</v>
      </c>
      <c r="J89" s="194"/>
      <c r="K89" s="196"/>
      <c r="L89" s="192">
        <f>L61+L62+L63+L64+L65+L66+L67+L68+L69+L70+L84+L85+L86+L87+L88</f>
        <v>338776.49445</v>
      </c>
      <c r="M89" s="193">
        <f>M61+M62+M63+M64+M65+M66+M67+M68+M69+M70+M84+M85+M86+M87+M88</f>
        <v>1081215.9708400001</v>
      </c>
      <c r="N89" s="197"/>
      <c r="O89" s="198"/>
      <c r="P89" s="199"/>
      <c r="Q89" s="106">
        <f>M89/E89</f>
        <v>0.57935523453814974</v>
      </c>
      <c r="R89" s="129">
        <f>L89/D89</f>
        <v>0.52332332511014035</v>
      </c>
      <c r="S89" s="7">
        <v>2489331.6</v>
      </c>
      <c r="T89" s="374">
        <f>S89-D89-E89</f>
        <v>-24264.5</v>
      </c>
    </row>
    <row r="90" spans="1:20" ht="19.5" thickBot="1" x14ac:dyDescent="0.3">
      <c r="A90" s="504" t="s">
        <v>16</v>
      </c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6"/>
      <c r="Q90" s="106" t="e">
        <f t="shared" si="3"/>
        <v>#DIV/0!</v>
      </c>
    </row>
    <row r="91" spans="1:20" ht="38.25" customHeight="1" x14ac:dyDescent="0.25">
      <c r="A91" s="200" t="s">
        <v>211</v>
      </c>
      <c r="B91" s="201" t="s">
        <v>127</v>
      </c>
      <c r="C91" s="499" t="s">
        <v>393</v>
      </c>
      <c r="D91" s="202"/>
      <c r="E91" s="203">
        <f>E92</f>
        <v>15000</v>
      </c>
      <c r="F91" s="97"/>
      <c r="G91" s="204"/>
      <c r="H91" s="202"/>
      <c r="I91" s="203">
        <f>I92</f>
        <v>15000</v>
      </c>
      <c r="J91" s="96"/>
      <c r="K91" s="205"/>
      <c r="L91" s="202"/>
      <c r="M91" s="206">
        <f>M92</f>
        <v>0</v>
      </c>
      <c r="N91" s="97"/>
      <c r="O91" s="204"/>
      <c r="P91" s="207"/>
      <c r="Q91" s="106">
        <f t="shared" si="3"/>
        <v>0</v>
      </c>
    </row>
    <row r="92" spans="1:20" ht="191.25" x14ac:dyDescent="0.25">
      <c r="A92" s="59" t="s">
        <v>212</v>
      </c>
      <c r="B92" s="27" t="s">
        <v>128</v>
      </c>
      <c r="C92" s="497"/>
      <c r="D92" s="90"/>
      <c r="E92" s="76">
        <f>SUM(E93:E101)</f>
        <v>15000</v>
      </c>
      <c r="F92" s="89"/>
      <c r="G92" s="98"/>
      <c r="H92" s="90"/>
      <c r="I92" s="76">
        <f>SUM(I93:I101)</f>
        <v>15000</v>
      </c>
      <c r="J92" s="66"/>
      <c r="K92" s="100"/>
      <c r="L92" s="90"/>
      <c r="M92" s="76">
        <f>SUM(M93:M101)</f>
        <v>0</v>
      </c>
      <c r="N92" s="89"/>
      <c r="O92" s="98"/>
      <c r="P92" s="62"/>
      <c r="Q92" s="106">
        <f t="shared" si="3"/>
        <v>0</v>
      </c>
    </row>
    <row r="93" spans="1:20" ht="63.75" hidden="1" customHeight="1" x14ac:dyDescent="0.25">
      <c r="A93" s="60" t="s">
        <v>213</v>
      </c>
      <c r="B93" s="29" t="s">
        <v>129</v>
      </c>
      <c r="C93" s="497"/>
      <c r="D93" s="82"/>
      <c r="E93" s="69"/>
      <c r="F93" s="47"/>
      <c r="G93" s="92"/>
      <c r="H93" s="82"/>
      <c r="I93" s="69"/>
      <c r="J93" s="46"/>
      <c r="K93" s="101"/>
      <c r="L93" s="82"/>
      <c r="M93" s="74"/>
      <c r="N93" s="47"/>
      <c r="O93" s="92"/>
      <c r="P93" s="63"/>
      <c r="Q93" s="106" t="e">
        <f t="shared" si="3"/>
        <v>#DIV/0!</v>
      </c>
    </row>
    <row r="94" spans="1:20" ht="63.75" hidden="1" customHeight="1" x14ac:dyDescent="0.25">
      <c r="A94" s="28" t="s">
        <v>214</v>
      </c>
      <c r="B94" s="29" t="s">
        <v>130</v>
      </c>
      <c r="C94" s="497"/>
      <c r="D94" s="82"/>
      <c r="E94" s="69"/>
      <c r="F94" s="83"/>
      <c r="G94" s="84"/>
      <c r="H94" s="82"/>
      <c r="I94" s="69"/>
      <c r="J94" s="23"/>
      <c r="K94" s="35"/>
      <c r="L94" s="86"/>
      <c r="M94" s="74"/>
      <c r="N94" s="83"/>
      <c r="O94" s="84"/>
      <c r="P94" s="36"/>
      <c r="Q94" s="106" t="e">
        <f t="shared" si="3"/>
        <v>#DIV/0!</v>
      </c>
    </row>
    <row r="95" spans="1:20" ht="63.75" hidden="1" customHeight="1" x14ac:dyDescent="0.25">
      <c r="A95" s="28" t="s">
        <v>215</v>
      </c>
      <c r="B95" s="29" t="s">
        <v>131</v>
      </c>
      <c r="C95" s="497"/>
      <c r="D95" s="82"/>
      <c r="E95" s="69"/>
      <c r="F95" s="83"/>
      <c r="G95" s="84"/>
      <c r="H95" s="82"/>
      <c r="I95" s="69"/>
      <c r="J95" s="23"/>
      <c r="K95" s="35"/>
      <c r="L95" s="86"/>
      <c r="M95" s="74"/>
      <c r="N95" s="83"/>
      <c r="O95" s="84"/>
      <c r="P95" s="36"/>
      <c r="Q95" s="106" t="e">
        <f t="shared" si="3"/>
        <v>#DIV/0!</v>
      </c>
    </row>
    <row r="96" spans="1:20" ht="76.5" hidden="1" customHeight="1" x14ac:dyDescent="0.25">
      <c r="A96" s="28" t="s">
        <v>216</v>
      </c>
      <c r="B96" s="29" t="s">
        <v>132</v>
      </c>
      <c r="C96" s="497"/>
      <c r="D96" s="82"/>
      <c r="E96" s="69"/>
      <c r="F96" s="83"/>
      <c r="G96" s="84"/>
      <c r="H96" s="82"/>
      <c r="I96" s="69"/>
      <c r="J96" s="23"/>
      <c r="K96" s="35"/>
      <c r="L96" s="86"/>
      <c r="M96" s="74"/>
      <c r="N96" s="83"/>
      <c r="O96" s="84"/>
      <c r="P96" s="36"/>
      <c r="Q96" s="106" t="e">
        <f t="shared" si="3"/>
        <v>#DIV/0!</v>
      </c>
    </row>
    <row r="97" spans="1:17" ht="76.5" hidden="1" customHeight="1" x14ac:dyDescent="0.25">
      <c r="A97" s="28" t="s">
        <v>217</v>
      </c>
      <c r="B97" s="29" t="s">
        <v>207</v>
      </c>
      <c r="C97" s="497"/>
      <c r="D97" s="82"/>
      <c r="E97" s="69"/>
      <c r="F97" s="83"/>
      <c r="G97" s="84"/>
      <c r="H97" s="82"/>
      <c r="I97" s="69"/>
      <c r="J97" s="23"/>
      <c r="K97" s="35"/>
      <c r="L97" s="86"/>
      <c r="M97" s="74"/>
      <c r="N97" s="83"/>
      <c r="O97" s="84"/>
      <c r="P97" s="36"/>
      <c r="Q97" s="106" t="e">
        <f t="shared" si="3"/>
        <v>#DIV/0!</v>
      </c>
    </row>
    <row r="98" spans="1:17" ht="63.75" x14ac:dyDescent="0.25">
      <c r="A98" s="28" t="s">
        <v>218</v>
      </c>
      <c r="B98" s="29" t="s">
        <v>133</v>
      </c>
      <c r="C98" s="497"/>
      <c r="D98" s="82"/>
      <c r="E98" s="69">
        <v>6000</v>
      </c>
      <c r="F98" s="83"/>
      <c r="G98" s="84"/>
      <c r="H98" s="82"/>
      <c r="I98" s="69">
        <v>6000</v>
      </c>
      <c r="J98" s="23"/>
      <c r="K98" s="35"/>
      <c r="L98" s="86"/>
      <c r="M98" s="74">
        <v>0</v>
      </c>
      <c r="N98" s="83"/>
      <c r="O98" s="84"/>
      <c r="P98" s="36"/>
      <c r="Q98" s="106">
        <f t="shared" si="3"/>
        <v>0</v>
      </c>
    </row>
    <row r="99" spans="1:17" ht="102" customHeight="1" x14ac:dyDescent="0.25">
      <c r="A99" s="28" t="s">
        <v>219</v>
      </c>
      <c r="B99" s="29" t="s">
        <v>134</v>
      </c>
      <c r="C99" s="497" t="s">
        <v>393</v>
      </c>
      <c r="D99" s="82"/>
      <c r="E99" s="69">
        <v>6000</v>
      </c>
      <c r="F99" s="83"/>
      <c r="G99" s="84"/>
      <c r="H99" s="82"/>
      <c r="I99" s="69">
        <v>6000</v>
      </c>
      <c r="J99" s="23"/>
      <c r="K99" s="35"/>
      <c r="L99" s="86"/>
      <c r="M99" s="74">
        <v>0</v>
      </c>
      <c r="N99" s="83"/>
      <c r="O99" s="84"/>
      <c r="P99" s="36"/>
      <c r="Q99" s="106">
        <f t="shared" si="3"/>
        <v>0</v>
      </c>
    </row>
    <row r="100" spans="1:17" ht="63.75" x14ac:dyDescent="0.25">
      <c r="A100" s="28" t="s">
        <v>220</v>
      </c>
      <c r="B100" s="29" t="s">
        <v>135</v>
      </c>
      <c r="C100" s="497"/>
      <c r="D100" s="82"/>
      <c r="E100" s="69">
        <v>3000</v>
      </c>
      <c r="F100" s="83"/>
      <c r="G100" s="84"/>
      <c r="H100" s="82"/>
      <c r="I100" s="69">
        <v>3000</v>
      </c>
      <c r="J100" s="23"/>
      <c r="K100" s="35"/>
      <c r="L100" s="86"/>
      <c r="M100" s="74">
        <v>0</v>
      </c>
      <c r="N100" s="83"/>
      <c r="O100" s="84"/>
      <c r="P100" s="36"/>
      <c r="Q100" s="106">
        <f t="shared" si="3"/>
        <v>0</v>
      </c>
    </row>
    <row r="101" spans="1:17" ht="76.5" hidden="1" customHeight="1" x14ac:dyDescent="0.25">
      <c r="A101" s="28" t="s">
        <v>221</v>
      </c>
      <c r="B101" s="29" t="s">
        <v>136</v>
      </c>
      <c r="C101" s="497"/>
      <c r="D101" s="82"/>
      <c r="E101" s="69">
        <v>0</v>
      </c>
      <c r="F101" s="83"/>
      <c r="G101" s="84"/>
      <c r="H101" s="82"/>
      <c r="I101" s="69">
        <v>0</v>
      </c>
      <c r="J101" s="23"/>
      <c r="K101" s="35"/>
      <c r="L101" s="86"/>
      <c r="M101" s="74">
        <v>0</v>
      </c>
      <c r="N101" s="83"/>
      <c r="O101" s="84"/>
      <c r="P101" s="36"/>
      <c r="Q101" s="106"/>
    </row>
    <row r="102" spans="1:17" ht="63.75" hidden="1" customHeight="1" x14ac:dyDescent="0.25">
      <c r="A102" s="26" t="s">
        <v>222</v>
      </c>
      <c r="B102" s="27" t="s">
        <v>137</v>
      </c>
      <c r="C102" s="497"/>
      <c r="D102" s="90"/>
      <c r="E102" s="76">
        <f>E103</f>
        <v>0</v>
      </c>
      <c r="F102" s="87"/>
      <c r="G102" s="91"/>
      <c r="H102" s="90"/>
      <c r="I102" s="76">
        <f>I103</f>
        <v>0</v>
      </c>
      <c r="J102" s="25"/>
      <c r="K102" s="32"/>
      <c r="L102" s="104"/>
      <c r="M102" s="99">
        <f>M103</f>
        <v>0</v>
      </c>
      <c r="N102" s="87"/>
      <c r="O102" s="91"/>
      <c r="P102" s="34"/>
      <c r="Q102" s="106"/>
    </row>
    <row r="103" spans="1:17" ht="51" hidden="1" customHeight="1" x14ac:dyDescent="0.25">
      <c r="A103" s="26" t="s">
        <v>223</v>
      </c>
      <c r="B103" s="27" t="s">
        <v>138</v>
      </c>
      <c r="C103" s="497"/>
      <c r="D103" s="90"/>
      <c r="E103" s="76">
        <f>E104+E105</f>
        <v>0</v>
      </c>
      <c r="F103" s="87"/>
      <c r="G103" s="91"/>
      <c r="H103" s="90"/>
      <c r="I103" s="76">
        <f>I104+I105</f>
        <v>0</v>
      </c>
      <c r="J103" s="25"/>
      <c r="K103" s="32"/>
      <c r="L103" s="104"/>
      <c r="M103" s="99">
        <f>M104+M105</f>
        <v>0</v>
      </c>
      <c r="N103" s="87"/>
      <c r="O103" s="91"/>
      <c r="P103" s="34"/>
      <c r="Q103" s="106"/>
    </row>
    <row r="104" spans="1:17" ht="63.75" hidden="1" customHeight="1" x14ac:dyDescent="0.25">
      <c r="A104" s="28" t="s">
        <v>224</v>
      </c>
      <c r="B104" s="29" t="s">
        <v>130</v>
      </c>
      <c r="C104" s="497"/>
      <c r="D104" s="82"/>
      <c r="E104" s="69"/>
      <c r="F104" s="83"/>
      <c r="G104" s="84"/>
      <c r="H104" s="82"/>
      <c r="I104" s="69"/>
      <c r="J104" s="23"/>
      <c r="K104" s="35"/>
      <c r="L104" s="86"/>
      <c r="M104" s="74"/>
      <c r="N104" s="83"/>
      <c r="O104" s="84"/>
      <c r="P104" s="36"/>
      <c r="Q104" s="106"/>
    </row>
    <row r="105" spans="1:17" ht="76.5" hidden="1" customHeight="1" x14ac:dyDescent="0.25">
      <c r="A105" s="28" t="s">
        <v>225</v>
      </c>
      <c r="B105" s="29" t="s">
        <v>139</v>
      </c>
      <c r="C105" s="497"/>
      <c r="D105" s="82"/>
      <c r="E105" s="69"/>
      <c r="F105" s="83"/>
      <c r="G105" s="84"/>
      <c r="H105" s="82"/>
      <c r="I105" s="69"/>
      <c r="J105" s="23"/>
      <c r="K105" s="35"/>
      <c r="L105" s="86"/>
      <c r="M105" s="74"/>
      <c r="N105" s="83"/>
      <c r="O105" s="84"/>
      <c r="P105" s="36"/>
      <c r="Q105" s="106"/>
    </row>
    <row r="106" spans="1:17" ht="51" x14ac:dyDescent="0.25">
      <c r="A106" s="26" t="s">
        <v>226</v>
      </c>
      <c r="B106" s="27" t="s">
        <v>140</v>
      </c>
      <c r="C106" s="497"/>
      <c r="D106" s="90"/>
      <c r="E106" s="76">
        <f>E107+E108</f>
        <v>250</v>
      </c>
      <c r="F106" s="87"/>
      <c r="G106" s="91"/>
      <c r="H106" s="90"/>
      <c r="I106" s="76">
        <f>I107+I108</f>
        <v>250</v>
      </c>
      <c r="J106" s="45"/>
      <c r="K106" s="68"/>
      <c r="L106" s="104"/>
      <c r="M106" s="99">
        <f>M107+M108</f>
        <v>135</v>
      </c>
      <c r="N106" s="87"/>
      <c r="O106" s="91"/>
      <c r="P106" s="34"/>
      <c r="Q106" s="106">
        <f t="shared" si="3"/>
        <v>0.54</v>
      </c>
    </row>
    <row r="107" spans="1:17" ht="76.5" x14ac:dyDescent="0.25">
      <c r="A107" s="28" t="s">
        <v>227</v>
      </c>
      <c r="B107" s="29" t="s">
        <v>141</v>
      </c>
      <c r="C107" s="497"/>
      <c r="D107" s="82"/>
      <c r="E107" s="69">
        <v>50</v>
      </c>
      <c r="F107" s="83"/>
      <c r="G107" s="84"/>
      <c r="H107" s="82"/>
      <c r="I107" s="69">
        <v>50</v>
      </c>
      <c r="J107" s="50"/>
      <c r="K107" s="67"/>
      <c r="L107" s="86"/>
      <c r="M107" s="74">
        <v>50</v>
      </c>
      <c r="N107" s="83"/>
      <c r="O107" s="84"/>
      <c r="P107" s="36"/>
      <c r="Q107" s="106">
        <f t="shared" si="3"/>
        <v>1</v>
      </c>
    </row>
    <row r="108" spans="1:17" ht="140.25" x14ac:dyDescent="0.25">
      <c r="A108" s="26" t="s">
        <v>228</v>
      </c>
      <c r="B108" s="27" t="s">
        <v>142</v>
      </c>
      <c r="C108" s="497"/>
      <c r="D108" s="90"/>
      <c r="E108" s="76">
        <f>E109+E110+E111+E112</f>
        <v>200</v>
      </c>
      <c r="F108" s="87"/>
      <c r="G108" s="91"/>
      <c r="H108" s="90"/>
      <c r="I108" s="76">
        <f>I109+I110+I111+I112</f>
        <v>200</v>
      </c>
      <c r="J108" s="45"/>
      <c r="K108" s="68"/>
      <c r="L108" s="104"/>
      <c r="M108" s="99">
        <f>M109+M110+M111+M112</f>
        <v>85</v>
      </c>
      <c r="N108" s="87"/>
      <c r="O108" s="91"/>
      <c r="P108" s="34"/>
      <c r="Q108" s="106">
        <f t="shared" si="3"/>
        <v>0.42499999999999999</v>
      </c>
    </row>
    <row r="109" spans="1:17" ht="127.5" x14ac:dyDescent="0.25">
      <c r="A109" s="28" t="s">
        <v>229</v>
      </c>
      <c r="B109" s="29" t="s">
        <v>143</v>
      </c>
      <c r="C109" s="497"/>
      <c r="D109" s="82"/>
      <c r="E109" s="69">
        <v>50</v>
      </c>
      <c r="F109" s="83"/>
      <c r="G109" s="84"/>
      <c r="H109" s="82"/>
      <c r="I109" s="69">
        <v>50</v>
      </c>
      <c r="J109" s="65"/>
      <c r="K109" s="102"/>
      <c r="L109" s="105"/>
      <c r="M109" s="69">
        <v>50</v>
      </c>
      <c r="N109" s="83"/>
      <c r="O109" s="84"/>
      <c r="P109" s="36"/>
      <c r="Q109" s="106">
        <f t="shared" si="3"/>
        <v>1</v>
      </c>
    </row>
    <row r="110" spans="1:17" ht="63.75" x14ac:dyDescent="0.25">
      <c r="A110" s="28" t="s">
        <v>230</v>
      </c>
      <c r="B110" s="29" t="s">
        <v>144</v>
      </c>
      <c r="C110" s="497"/>
      <c r="D110" s="82"/>
      <c r="E110" s="69">
        <v>40</v>
      </c>
      <c r="F110" s="83"/>
      <c r="G110" s="84"/>
      <c r="H110" s="82"/>
      <c r="I110" s="69">
        <v>40</v>
      </c>
      <c r="J110" s="65"/>
      <c r="K110" s="102"/>
      <c r="L110" s="105"/>
      <c r="M110" s="69">
        <v>10</v>
      </c>
      <c r="N110" s="83"/>
      <c r="O110" s="84"/>
      <c r="P110" s="36"/>
      <c r="Q110" s="106">
        <f t="shared" si="3"/>
        <v>0.25</v>
      </c>
    </row>
    <row r="111" spans="1:17" ht="51" x14ac:dyDescent="0.25">
      <c r="A111" s="28" t="s">
        <v>231</v>
      </c>
      <c r="B111" s="29" t="s">
        <v>145</v>
      </c>
      <c r="C111" s="497"/>
      <c r="D111" s="82"/>
      <c r="E111" s="69">
        <v>50</v>
      </c>
      <c r="F111" s="83"/>
      <c r="G111" s="84"/>
      <c r="H111" s="82"/>
      <c r="I111" s="69">
        <v>50</v>
      </c>
      <c r="J111" s="65"/>
      <c r="K111" s="102"/>
      <c r="L111" s="105"/>
      <c r="M111" s="69">
        <v>25</v>
      </c>
      <c r="N111" s="83"/>
      <c r="O111" s="84"/>
      <c r="P111" s="36"/>
      <c r="Q111" s="106">
        <f t="shared" si="3"/>
        <v>0.5</v>
      </c>
    </row>
    <row r="112" spans="1:17" ht="38.25" x14ac:dyDescent="0.25">
      <c r="A112" s="28" t="s">
        <v>232</v>
      </c>
      <c r="B112" s="29" t="s">
        <v>146</v>
      </c>
      <c r="C112" s="497"/>
      <c r="D112" s="82"/>
      <c r="E112" s="69">
        <v>60</v>
      </c>
      <c r="F112" s="83"/>
      <c r="G112" s="84"/>
      <c r="H112" s="82"/>
      <c r="I112" s="69">
        <v>60</v>
      </c>
      <c r="J112" s="65"/>
      <c r="K112" s="102"/>
      <c r="L112" s="105"/>
      <c r="M112" s="69">
        <v>0</v>
      </c>
      <c r="N112" s="83"/>
      <c r="O112" s="84"/>
      <c r="P112" s="36"/>
      <c r="Q112" s="106">
        <f t="shared" si="3"/>
        <v>0</v>
      </c>
    </row>
    <row r="113" spans="1:17" x14ac:dyDescent="0.25">
      <c r="A113" s="26" t="s">
        <v>233</v>
      </c>
      <c r="B113" s="27" t="s">
        <v>17</v>
      </c>
      <c r="C113" s="497"/>
      <c r="D113" s="90"/>
      <c r="E113" s="76">
        <f>E114</f>
        <v>4800</v>
      </c>
      <c r="F113" s="87"/>
      <c r="G113" s="91"/>
      <c r="H113" s="90"/>
      <c r="I113" s="76">
        <f>I114</f>
        <v>4800</v>
      </c>
      <c r="J113" s="45"/>
      <c r="K113" s="68"/>
      <c r="L113" s="104"/>
      <c r="M113" s="99">
        <f>M114</f>
        <v>0</v>
      </c>
      <c r="N113" s="87"/>
      <c r="O113" s="91"/>
      <c r="P113" s="34"/>
      <c r="Q113" s="106">
        <f t="shared" si="3"/>
        <v>0</v>
      </c>
    </row>
    <row r="114" spans="1:17" ht="26.25" thickBot="1" x14ac:dyDescent="0.3">
      <c r="A114" s="172" t="s">
        <v>234</v>
      </c>
      <c r="B114" s="173" t="s">
        <v>147</v>
      </c>
      <c r="C114" s="500"/>
      <c r="D114" s="111"/>
      <c r="E114" s="112">
        <v>4800</v>
      </c>
      <c r="F114" s="174"/>
      <c r="G114" s="175"/>
      <c r="H114" s="111"/>
      <c r="I114" s="112">
        <v>4800</v>
      </c>
      <c r="J114" s="176"/>
      <c r="K114" s="177"/>
      <c r="L114" s="178"/>
      <c r="M114" s="116">
        <v>0</v>
      </c>
      <c r="N114" s="174"/>
      <c r="O114" s="175"/>
      <c r="P114" s="140"/>
      <c r="Q114" s="106">
        <f t="shared" si="3"/>
        <v>0</v>
      </c>
    </row>
    <row r="115" spans="1:17" s="7" customFormat="1" ht="15.75" thickBot="1" x14ac:dyDescent="0.3">
      <c r="A115" s="179"/>
      <c r="B115" s="120" t="s">
        <v>10</v>
      </c>
      <c r="C115" s="141"/>
      <c r="D115" s="180"/>
      <c r="E115" s="181">
        <f>E91+E102+E106+E113</f>
        <v>20050</v>
      </c>
      <c r="F115" s="182"/>
      <c r="G115" s="183"/>
      <c r="H115" s="180"/>
      <c r="I115" s="181">
        <f>I91+I102+I106+I113</f>
        <v>20050</v>
      </c>
      <c r="J115" s="184"/>
      <c r="K115" s="185"/>
      <c r="L115" s="186"/>
      <c r="M115" s="182">
        <f>M91+M102+M106+M113</f>
        <v>135</v>
      </c>
      <c r="N115" s="123"/>
      <c r="O115" s="124"/>
      <c r="P115" s="126"/>
      <c r="Q115" s="106">
        <f t="shared" si="3"/>
        <v>6.7331670822942643E-3</v>
      </c>
    </row>
    <row r="116" spans="1:17" ht="19.5" thickBot="1" x14ac:dyDescent="0.35">
      <c r="A116" s="512" t="s">
        <v>18</v>
      </c>
      <c r="B116" s="513"/>
      <c r="C116" s="513"/>
      <c r="D116" s="513"/>
      <c r="E116" s="513"/>
      <c r="F116" s="513"/>
      <c r="G116" s="513"/>
      <c r="H116" s="513"/>
      <c r="I116" s="513"/>
      <c r="J116" s="513"/>
      <c r="K116" s="513"/>
      <c r="L116" s="513"/>
      <c r="M116" s="513"/>
      <c r="N116" s="513"/>
      <c r="O116" s="513"/>
      <c r="P116" s="514"/>
      <c r="Q116" s="106" t="e">
        <f t="shared" si="3"/>
        <v>#DIV/0!</v>
      </c>
    </row>
    <row r="117" spans="1:17" ht="63.75" customHeight="1" x14ac:dyDescent="0.25">
      <c r="A117" s="131" t="s">
        <v>235</v>
      </c>
      <c r="B117" s="132" t="s">
        <v>19</v>
      </c>
      <c r="C117" s="501" t="s">
        <v>393</v>
      </c>
      <c r="D117" s="348">
        <f>D118+D119+D120+D121+D122+D123+D124+D125+D126+D127</f>
        <v>0</v>
      </c>
      <c r="E117" s="349">
        <v>35987.036</v>
      </c>
      <c r="F117" s="350"/>
      <c r="G117" s="351"/>
      <c r="H117" s="348">
        <f>H118+H119+H120+H121+H122+H123+H124+H125+H126+H127</f>
        <v>0</v>
      </c>
      <c r="I117" s="349">
        <f>I118+I119+I120+I121+I122+I123+I124+I125+I126+I127</f>
        <v>35987.036000000007</v>
      </c>
      <c r="J117" s="350"/>
      <c r="K117" s="558"/>
      <c r="L117" s="348">
        <f>L118+L119+L120+L121+L122+L123+L124+L125+L126+L127</f>
        <v>0</v>
      </c>
      <c r="M117" s="349">
        <f>M118+M119+M120+M121+M122+M123+M124+M125+M126+M127</f>
        <v>9585.8599999999988</v>
      </c>
      <c r="N117" s="31"/>
      <c r="O117" s="133"/>
      <c r="P117" s="103"/>
      <c r="Q117" s="106">
        <f t="shared" si="3"/>
        <v>0.26636981161771695</v>
      </c>
    </row>
    <row r="118" spans="1:17" ht="38.25" x14ac:dyDescent="0.25">
      <c r="A118" s="35" t="s">
        <v>252</v>
      </c>
      <c r="B118" s="13" t="s">
        <v>236</v>
      </c>
      <c r="C118" s="502"/>
      <c r="D118" s="352"/>
      <c r="E118" s="353">
        <v>1083.3</v>
      </c>
      <c r="F118" s="354"/>
      <c r="G118" s="355"/>
      <c r="H118" s="352"/>
      <c r="I118" s="353">
        <v>1083.3</v>
      </c>
      <c r="J118" s="354"/>
      <c r="K118" s="356"/>
      <c r="L118" s="357"/>
      <c r="M118" s="353">
        <v>417.7</v>
      </c>
      <c r="N118" s="23"/>
      <c r="O118" s="58"/>
      <c r="P118" s="36"/>
      <c r="Q118" s="106">
        <f t="shared" si="3"/>
        <v>0.38558109480291702</v>
      </c>
    </row>
    <row r="119" spans="1:17" ht="25.5" x14ac:dyDescent="0.25">
      <c r="A119" s="35" t="s">
        <v>253</v>
      </c>
      <c r="B119" s="13" t="s">
        <v>237</v>
      </c>
      <c r="C119" s="502"/>
      <c r="D119" s="352"/>
      <c r="E119" s="353">
        <v>1036.9000000000001</v>
      </c>
      <c r="F119" s="354"/>
      <c r="G119" s="355"/>
      <c r="H119" s="352"/>
      <c r="I119" s="353">
        <v>1036.9000000000001</v>
      </c>
      <c r="J119" s="354"/>
      <c r="K119" s="356"/>
      <c r="L119" s="357"/>
      <c r="M119" s="353">
        <v>546</v>
      </c>
      <c r="N119" s="23"/>
      <c r="O119" s="58"/>
      <c r="P119" s="36"/>
      <c r="Q119" s="106">
        <f t="shared" si="3"/>
        <v>0.52656958240910401</v>
      </c>
    </row>
    <row r="120" spans="1:17" ht="63.75" customHeight="1" x14ac:dyDescent="0.25">
      <c r="A120" s="35" t="s">
        <v>254</v>
      </c>
      <c r="B120" s="13" t="s">
        <v>238</v>
      </c>
      <c r="C120" s="502"/>
      <c r="D120" s="352"/>
      <c r="E120" s="353">
        <v>238.9</v>
      </c>
      <c r="F120" s="354"/>
      <c r="G120" s="355"/>
      <c r="H120" s="352"/>
      <c r="I120" s="353">
        <v>238.9</v>
      </c>
      <c r="J120" s="354"/>
      <c r="K120" s="356"/>
      <c r="L120" s="357"/>
      <c r="M120" s="353">
        <v>42.2</v>
      </c>
      <c r="N120" s="23"/>
      <c r="O120" s="58"/>
      <c r="P120" s="36"/>
      <c r="Q120" s="106">
        <f t="shared" si="3"/>
        <v>0.17664294683968187</v>
      </c>
    </row>
    <row r="121" spans="1:17" ht="63.75" x14ac:dyDescent="0.25">
      <c r="A121" s="35" t="s">
        <v>255</v>
      </c>
      <c r="B121" s="13" t="s">
        <v>239</v>
      </c>
      <c r="C121" s="502"/>
      <c r="D121" s="352"/>
      <c r="E121" s="353">
        <v>15999.9</v>
      </c>
      <c r="F121" s="354"/>
      <c r="G121" s="355"/>
      <c r="H121" s="352"/>
      <c r="I121" s="353">
        <v>15999.9</v>
      </c>
      <c r="J121" s="354"/>
      <c r="K121" s="356"/>
      <c r="L121" s="357"/>
      <c r="M121" s="353">
        <v>3552.5</v>
      </c>
      <c r="N121" s="23"/>
      <c r="O121" s="58"/>
      <c r="P121" s="36"/>
      <c r="Q121" s="106">
        <f t="shared" si="3"/>
        <v>0.22203263770398565</v>
      </c>
    </row>
    <row r="122" spans="1:17" ht="114.75" x14ac:dyDescent="0.25">
      <c r="A122" s="35" t="s">
        <v>256</v>
      </c>
      <c r="B122" s="13" t="s">
        <v>240</v>
      </c>
      <c r="C122" s="502"/>
      <c r="D122" s="352"/>
      <c r="E122" s="353">
        <v>1090</v>
      </c>
      <c r="F122" s="354"/>
      <c r="G122" s="355"/>
      <c r="H122" s="352"/>
      <c r="I122" s="353">
        <v>1090</v>
      </c>
      <c r="J122" s="354"/>
      <c r="K122" s="356"/>
      <c r="L122" s="357"/>
      <c r="M122" s="353">
        <v>158.9</v>
      </c>
      <c r="N122" s="23"/>
      <c r="O122" s="58"/>
      <c r="P122" s="36"/>
      <c r="Q122" s="106">
        <f t="shared" si="3"/>
        <v>0.14577981651376148</v>
      </c>
    </row>
    <row r="123" spans="1:17" ht="25.5" x14ac:dyDescent="0.25">
      <c r="A123" s="35" t="s">
        <v>257</v>
      </c>
      <c r="B123" s="13" t="s">
        <v>241</v>
      </c>
      <c r="C123" s="502"/>
      <c r="D123" s="352"/>
      <c r="E123" s="353">
        <v>2647.2359999999999</v>
      </c>
      <c r="F123" s="354"/>
      <c r="G123" s="355"/>
      <c r="H123" s="352"/>
      <c r="I123" s="353">
        <v>2647.2359999999999</v>
      </c>
      <c r="J123" s="354"/>
      <c r="K123" s="356"/>
      <c r="L123" s="357"/>
      <c r="M123" s="353">
        <v>675.7</v>
      </c>
      <c r="N123" s="23"/>
      <c r="O123" s="58"/>
      <c r="P123" s="36"/>
      <c r="Q123" s="106">
        <f t="shared" si="3"/>
        <v>0.25524735988782266</v>
      </c>
    </row>
    <row r="124" spans="1:17" ht="165.75" customHeight="1" x14ac:dyDescent="0.25">
      <c r="A124" s="35" t="s">
        <v>258</v>
      </c>
      <c r="B124" s="13" t="s">
        <v>275</v>
      </c>
      <c r="C124" s="502"/>
      <c r="D124" s="352"/>
      <c r="E124" s="353">
        <v>5896.6</v>
      </c>
      <c r="F124" s="354"/>
      <c r="G124" s="355"/>
      <c r="H124" s="352"/>
      <c r="I124" s="353">
        <v>5896.6</v>
      </c>
      <c r="J124" s="354"/>
      <c r="K124" s="356"/>
      <c r="L124" s="357"/>
      <c r="M124" s="353">
        <f>1448.7+110.2+25.3</f>
        <v>1584.2</v>
      </c>
      <c r="N124" s="23"/>
      <c r="O124" s="58"/>
      <c r="P124" s="36"/>
      <c r="Q124" s="106">
        <f t="shared" si="3"/>
        <v>0.26866329749347079</v>
      </c>
    </row>
    <row r="125" spans="1:17" ht="25.5" x14ac:dyDescent="0.25">
      <c r="A125" s="35" t="s">
        <v>259</v>
      </c>
      <c r="B125" s="13" t="s">
        <v>242</v>
      </c>
      <c r="C125" s="502"/>
      <c r="D125" s="352"/>
      <c r="E125" s="353">
        <v>299.39999999999998</v>
      </c>
      <c r="F125" s="354"/>
      <c r="G125" s="355"/>
      <c r="H125" s="352"/>
      <c r="I125" s="353">
        <v>299.39999999999998</v>
      </c>
      <c r="J125" s="354"/>
      <c r="K125" s="356"/>
      <c r="L125" s="357"/>
      <c r="M125" s="353">
        <v>54.1</v>
      </c>
      <c r="N125" s="23"/>
      <c r="O125" s="58"/>
      <c r="P125" s="36"/>
      <c r="Q125" s="106">
        <f t="shared" si="3"/>
        <v>0.18069472277889112</v>
      </c>
    </row>
    <row r="126" spans="1:17" ht="267.75" x14ac:dyDescent="0.25">
      <c r="A126" s="35" t="s">
        <v>260</v>
      </c>
      <c r="B126" s="13" t="s">
        <v>276</v>
      </c>
      <c r="C126" s="502" t="s">
        <v>393</v>
      </c>
      <c r="D126" s="352"/>
      <c r="E126" s="353">
        <v>2672.3</v>
      </c>
      <c r="F126" s="354"/>
      <c r="G126" s="355"/>
      <c r="H126" s="352"/>
      <c r="I126" s="353">
        <v>2672.3</v>
      </c>
      <c r="J126" s="354"/>
      <c r="K126" s="356"/>
      <c r="L126" s="357"/>
      <c r="M126" s="353">
        <v>2300.1</v>
      </c>
      <c r="N126" s="23"/>
      <c r="O126" s="58"/>
      <c r="P126" s="36"/>
      <c r="Q126" s="106">
        <f t="shared" si="3"/>
        <v>0.86071923062530398</v>
      </c>
    </row>
    <row r="127" spans="1:17" ht="25.5" x14ac:dyDescent="0.25">
      <c r="A127" s="37" t="s">
        <v>261</v>
      </c>
      <c r="B127" s="13" t="s">
        <v>243</v>
      </c>
      <c r="C127" s="502"/>
      <c r="D127" s="352"/>
      <c r="E127" s="353">
        <v>5022.5</v>
      </c>
      <c r="F127" s="354"/>
      <c r="G127" s="355"/>
      <c r="H127" s="352"/>
      <c r="I127" s="353">
        <v>5022.5</v>
      </c>
      <c r="J127" s="354"/>
      <c r="K127" s="356"/>
      <c r="L127" s="357"/>
      <c r="M127" s="353">
        <v>254.46</v>
      </c>
      <c r="N127" s="23"/>
      <c r="O127" s="58"/>
      <c r="P127" s="36"/>
      <c r="Q127" s="106">
        <f t="shared" si="3"/>
        <v>5.0664011946241913E-2</v>
      </c>
    </row>
    <row r="128" spans="1:17" ht="55.5" customHeight="1" x14ac:dyDescent="0.25">
      <c r="A128" s="38" t="s">
        <v>262</v>
      </c>
      <c r="B128" s="33" t="s">
        <v>244</v>
      </c>
      <c r="C128" s="502"/>
      <c r="D128" s="358">
        <f>D129+D132+D133</f>
        <v>11739.4</v>
      </c>
      <c r="E128" s="359">
        <f>E129+E132+E133</f>
        <v>1037.664</v>
      </c>
      <c r="F128" s="360"/>
      <c r="G128" s="361"/>
      <c r="H128" s="358">
        <f>H129+H132+H133</f>
        <v>12825.182000000001</v>
      </c>
      <c r="I128" s="359">
        <f>I129+I132+I133</f>
        <v>1037.664</v>
      </c>
      <c r="J128" s="360"/>
      <c r="K128" s="362"/>
      <c r="L128" s="358">
        <f>L129+L132+L133</f>
        <v>2483.3809999999999</v>
      </c>
      <c r="M128" s="359">
        <f>M129+M132+M133</f>
        <v>174.81195</v>
      </c>
      <c r="N128" s="25"/>
      <c r="O128" s="94"/>
      <c r="P128" s="34"/>
      <c r="Q128" s="106">
        <f t="shared" si="3"/>
        <v>0.16846681584790452</v>
      </c>
    </row>
    <row r="129" spans="1:20" ht="114.75" x14ac:dyDescent="0.25">
      <c r="A129" s="38" t="s">
        <v>263</v>
      </c>
      <c r="B129" s="33" t="s">
        <v>277</v>
      </c>
      <c r="C129" s="502"/>
      <c r="D129" s="358">
        <f>D130+D131</f>
        <v>0</v>
      </c>
      <c r="E129" s="359">
        <f>E130+E131</f>
        <v>737.56399999999996</v>
      </c>
      <c r="F129" s="360"/>
      <c r="G129" s="361"/>
      <c r="H129" s="358">
        <f>H130+H131</f>
        <v>0</v>
      </c>
      <c r="I129" s="359">
        <f>I130+I131</f>
        <v>737.56399999999996</v>
      </c>
      <c r="J129" s="360"/>
      <c r="K129" s="362"/>
      <c r="L129" s="358">
        <f>L130+L131</f>
        <v>0</v>
      </c>
      <c r="M129" s="359">
        <f>M130+M131</f>
        <v>108.81195</v>
      </c>
      <c r="N129" s="25"/>
      <c r="O129" s="94"/>
      <c r="P129" s="34"/>
      <c r="Q129" s="106">
        <f t="shared" si="3"/>
        <v>0.14752882461725356</v>
      </c>
    </row>
    <row r="130" spans="1:20" ht="153" x14ac:dyDescent="0.25">
      <c r="A130" s="37" t="s">
        <v>264</v>
      </c>
      <c r="B130" s="13" t="s">
        <v>278</v>
      </c>
      <c r="C130" s="502"/>
      <c r="D130" s="352"/>
      <c r="E130" s="353">
        <v>617.9</v>
      </c>
      <c r="F130" s="354"/>
      <c r="G130" s="355"/>
      <c r="H130" s="352"/>
      <c r="I130" s="353">
        <v>617.9</v>
      </c>
      <c r="J130" s="354"/>
      <c r="K130" s="356"/>
      <c r="L130" s="357">
        <v>0</v>
      </c>
      <c r="M130" s="363">
        <v>108.81195</v>
      </c>
      <c r="N130" s="23"/>
      <c r="O130" s="58"/>
      <c r="P130" s="36"/>
      <c r="Q130" s="106">
        <f t="shared" si="3"/>
        <v>0.17609961158763554</v>
      </c>
    </row>
    <row r="131" spans="1:20" ht="178.5" x14ac:dyDescent="0.25">
      <c r="A131" s="37" t="s">
        <v>265</v>
      </c>
      <c r="B131" s="13" t="s">
        <v>279</v>
      </c>
      <c r="C131" s="502" t="s">
        <v>393</v>
      </c>
      <c r="D131" s="352"/>
      <c r="E131" s="353">
        <v>119.664</v>
      </c>
      <c r="F131" s="354"/>
      <c r="G131" s="355"/>
      <c r="H131" s="352"/>
      <c r="I131" s="353">
        <v>119.664</v>
      </c>
      <c r="J131" s="354"/>
      <c r="K131" s="356"/>
      <c r="L131" s="357"/>
      <c r="M131" s="363"/>
      <c r="N131" s="23"/>
      <c r="O131" s="58"/>
      <c r="P131" s="36"/>
      <c r="Q131" s="106">
        <f t="shared" si="3"/>
        <v>0</v>
      </c>
    </row>
    <row r="132" spans="1:20" ht="25.5" x14ac:dyDescent="0.25">
      <c r="A132" s="37" t="s">
        <v>266</v>
      </c>
      <c r="B132" s="39" t="s">
        <v>245</v>
      </c>
      <c r="C132" s="502"/>
      <c r="D132" s="352"/>
      <c r="E132" s="353">
        <v>300.10000000000002</v>
      </c>
      <c r="F132" s="354"/>
      <c r="G132" s="355"/>
      <c r="H132" s="352"/>
      <c r="I132" s="353">
        <v>300.10000000000002</v>
      </c>
      <c r="J132" s="354"/>
      <c r="K132" s="356"/>
      <c r="L132" s="357"/>
      <c r="M132" s="74">
        <v>66</v>
      </c>
      <c r="N132" s="23"/>
      <c r="O132" s="58"/>
      <c r="P132" s="36"/>
      <c r="Q132" s="106">
        <f t="shared" si="3"/>
        <v>0.21992669110296567</v>
      </c>
    </row>
    <row r="133" spans="1:20" ht="90" x14ac:dyDescent="0.25">
      <c r="A133" s="37" t="s">
        <v>267</v>
      </c>
      <c r="B133" s="13" t="s">
        <v>246</v>
      </c>
      <c r="C133" s="502"/>
      <c r="D133" s="352">
        <v>11739.4</v>
      </c>
      <c r="E133" s="353">
        <v>0</v>
      </c>
      <c r="F133" s="354"/>
      <c r="G133" s="355"/>
      <c r="H133" s="352">
        <v>12825.182000000001</v>
      </c>
      <c r="I133" s="353">
        <v>0</v>
      </c>
      <c r="J133" s="47"/>
      <c r="K133" s="93"/>
      <c r="L133" s="82">
        <v>2483.3809999999999</v>
      </c>
      <c r="M133" s="74"/>
      <c r="N133" s="23"/>
      <c r="O133" s="58"/>
      <c r="P133" s="232" t="s">
        <v>322</v>
      </c>
      <c r="Q133" s="106">
        <f>L133/D133</f>
        <v>0.21154241272978175</v>
      </c>
    </row>
    <row r="134" spans="1:20" ht="76.5" x14ac:dyDescent="0.25">
      <c r="A134" s="38" t="s">
        <v>268</v>
      </c>
      <c r="B134" s="33" t="s">
        <v>247</v>
      </c>
      <c r="C134" s="502"/>
      <c r="D134" s="90">
        <v>0</v>
      </c>
      <c r="E134" s="359"/>
      <c r="F134" s="360"/>
      <c r="G134" s="361"/>
      <c r="H134" s="90">
        <v>0</v>
      </c>
      <c r="I134" s="359"/>
      <c r="J134" s="360"/>
      <c r="K134" s="362"/>
      <c r="L134" s="364"/>
      <c r="M134" s="365"/>
      <c r="N134" s="25"/>
      <c r="O134" s="94"/>
      <c r="P134" s="34"/>
      <c r="Q134" s="106" t="e">
        <f t="shared" si="3"/>
        <v>#DIV/0!</v>
      </c>
    </row>
    <row r="135" spans="1:20" ht="63.75" x14ac:dyDescent="0.25">
      <c r="A135" s="37" t="s">
        <v>269</v>
      </c>
      <c r="B135" s="13" t="s">
        <v>280</v>
      </c>
      <c r="C135" s="502"/>
      <c r="D135" s="352"/>
      <c r="E135" s="353">
        <v>3531.3</v>
      </c>
      <c r="F135" s="354"/>
      <c r="G135" s="355"/>
      <c r="H135" s="352"/>
      <c r="I135" s="353">
        <v>3531.3</v>
      </c>
      <c r="J135" s="354"/>
      <c r="K135" s="356"/>
      <c r="L135" s="357"/>
      <c r="M135" s="363">
        <v>1042.183</v>
      </c>
      <c r="N135" s="23"/>
      <c r="O135" s="58"/>
      <c r="P135" s="36"/>
      <c r="Q135" s="106">
        <f t="shared" si="3"/>
        <v>0.29512729023305861</v>
      </c>
    </row>
    <row r="136" spans="1:20" ht="24.75" customHeight="1" x14ac:dyDescent="0.25">
      <c r="A136" s="38" t="s">
        <v>270</v>
      </c>
      <c r="B136" s="33" t="s">
        <v>248</v>
      </c>
      <c r="C136" s="502"/>
      <c r="D136" s="358">
        <f>D137+D138</f>
        <v>0</v>
      </c>
      <c r="E136" s="359">
        <f>E137+E138+E139</f>
        <v>250</v>
      </c>
      <c r="F136" s="360"/>
      <c r="G136" s="361"/>
      <c r="H136" s="358">
        <f>H137+H138</f>
        <v>0</v>
      </c>
      <c r="I136" s="359">
        <f>I137+I138+I139</f>
        <v>250</v>
      </c>
      <c r="J136" s="360"/>
      <c r="K136" s="362"/>
      <c r="L136" s="358">
        <f>L137+L138</f>
        <v>0</v>
      </c>
      <c r="M136" s="359">
        <f>M137+M138+M139</f>
        <v>21.75</v>
      </c>
      <c r="N136" s="25"/>
      <c r="O136" s="94"/>
      <c r="P136" s="34"/>
      <c r="Q136" s="106">
        <f t="shared" si="3"/>
        <v>8.6999999999999994E-2</v>
      </c>
    </row>
    <row r="137" spans="1:20" ht="25.5" x14ac:dyDescent="0.25">
      <c r="A137" s="37" t="s">
        <v>271</v>
      </c>
      <c r="B137" s="13" t="s">
        <v>249</v>
      </c>
      <c r="C137" s="502"/>
      <c r="D137" s="352"/>
      <c r="E137" s="353">
        <v>50</v>
      </c>
      <c r="F137" s="354"/>
      <c r="G137" s="355"/>
      <c r="H137" s="352"/>
      <c r="I137" s="353">
        <v>50</v>
      </c>
      <c r="J137" s="354"/>
      <c r="K137" s="356"/>
      <c r="L137" s="357"/>
      <c r="M137" s="363">
        <v>21.75</v>
      </c>
      <c r="N137" s="23"/>
      <c r="O137" s="58"/>
      <c r="P137" s="36"/>
      <c r="Q137" s="106">
        <f t="shared" si="3"/>
        <v>0.435</v>
      </c>
    </row>
    <row r="138" spans="1:20" ht="38.25" x14ac:dyDescent="0.25">
      <c r="A138" s="37" t="s">
        <v>272</v>
      </c>
      <c r="B138" s="13" t="s">
        <v>250</v>
      </c>
      <c r="C138" s="502"/>
      <c r="D138" s="352"/>
      <c r="E138" s="353">
        <v>100</v>
      </c>
      <c r="F138" s="354"/>
      <c r="G138" s="355"/>
      <c r="H138" s="352"/>
      <c r="I138" s="353">
        <v>100</v>
      </c>
      <c r="J138" s="354"/>
      <c r="K138" s="356"/>
      <c r="L138" s="357"/>
      <c r="M138" s="363">
        <v>0</v>
      </c>
      <c r="N138" s="23"/>
      <c r="O138" s="58"/>
      <c r="P138" s="36"/>
      <c r="Q138" s="106">
        <f t="shared" ref="Q138:Q152" si="5">M138/E138</f>
        <v>0</v>
      </c>
    </row>
    <row r="139" spans="1:20" ht="140.25" x14ac:dyDescent="0.25">
      <c r="A139" s="37" t="s">
        <v>596</v>
      </c>
      <c r="B139" s="243" t="s">
        <v>597</v>
      </c>
      <c r="C139" s="502"/>
      <c r="D139" s="352"/>
      <c r="E139" s="353">
        <v>100</v>
      </c>
      <c r="F139" s="354"/>
      <c r="G139" s="355"/>
      <c r="H139" s="352"/>
      <c r="I139" s="353">
        <v>100</v>
      </c>
      <c r="J139" s="354"/>
      <c r="K139" s="356"/>
      <c r="L139" s="357"/>
      <c r="M139" s="363"/>
      <c r="N139" s="23"/>
      <c r="O139" s="58"/>
      <c r="P139" s="36"/>
      <c r="Q139" s="106"/>
    </row>
    <row r="140" spans="1:20" ht="102" x14ac:dyDescent="0.25">
      <c r="A140" s="37" t="s">
        <v>273</v>
      </c>
      <c r="B140" s="13" t="s">
        <v>251</v>
      </c>
      <c r="C140" s="502"/>
      <c r="D140" s="352"/>
      <c r="E140" s="353">
        <v>136957.70000000001</v>
      </c>
      <c r="F140" s="354"/>
      <c r="G140" s="355"/>
      <c r="H140" s="352"/>
      <c r="I140" s="353">
        <v>136957.70000000001</v>
      </c>
      <c r="J140" s="354"/>
      <c r="K140" s="356"/>
      <c r="L140" s="357"/>
      <c r="M140" s="363">
        <v>64168.845000000001</v>
      </c>
      <c r="N140" s="23"/>
      <c r="O140" s="58"/>
      <c r="P140" s="36"/>
      <c r="Q140" s="106">
        <f t="shared" si="5"/>
        <v>0.46853039296074622</v>
      </c>
    </row>
    <row r="141" spans="1:20" ht="153.75" thickBot="1" x14ac:dyDescent="0.3">
      <c r="A141" s="134" t="s">
        <v>274</v>
      </c>
      <c r="B141" s="135" t="s">
        <v>315</v>
      </c>
      <c r="C141" s="315" t="s">
        <v>393</v>
      </c>
      <c r="D141" s="366">
        <v>192272.9</v>
      </c>
      <c r="E141" s="367"/>
      <c r="F141" s="368"/>
      <c r="G141" s="369"/>
      <c r="H141" s="366">
        <v>192272.9</v>
      </c>
      <c r="I141" s="367"/>
      <c r="J141" s="113"/>
      <c r="K141" s="115"/>
      <c r="L141" s="111">
        <v>90805.24467</v>
      </c>
      <c r="M141" s="116"/>
      <c r="N141" s="138"/>
      <c r="O141" s="139"/>
      <c r="P141" s="232" t="s">
        <v>322</v>
      </c>
      <c r="Q141" s="106">
        <f>L141/D141</f>
        <v>0.47227271586375408</v>
      </c>
    </row>
    <row r="142" spans="1:20" s="7" customFormat="1" ht="15.75" thickBot="1" x14ac:dyDescent="0.3">
      <c r="A142" s="119"/>
      <c r="B142" s="120" t="s">
        <v>10</v>
      </c>
      <c r="C142" s="141"/>
      <c r="D142" s="370">
        <f>D117+D128+D134+D135+D136+D140+D141</f>
        <v>204012.3</v>
      </c>
      <c r="E142" s="370">
        <f>E117+E128+E134+E135+E136+E140+E141</f>
        <v>177763.7</v>
      </c>
      <c r="F142" s="371"/>
      <c r="G142" s="372"/>
      <c r="H142" s="370">
        <f>H117+H128+H134+H135+H136+H140+H141</f>
        <v>205098.08199999999</v>
      </c>
      <c r="I142" s="370">
        <f>I117+I128+I134+I135+I136+I140+I141</f>
        <v>177763.7</v>
      </c>
      <c r="J142" s="123"/>
      <c r="K142" s="373"/>
      <c r="L142" s="370">
        <f>L117+L128+L134+L135+L136+L140+L141</f>
        <v>93288.625669999994</v>
      </c>
      <c r="M142" s="370">
        <f>M117+M128+M134+M135+M136+M140+M141</f>
        <v>74993.449949999995</v>
      </c>
      <c r="N142" s="142"/>
      <c r="O142" s="125"/>
      <c r="P142" s="126"/>
      <c r="Q142" s="106">
        <f t="shared" si="5"/>
        <v>0.42187156292313893</v>
      </c>
      <c r="S142" s="7">
        <v>382761.78200000001</v>
      </c>
      <c r="T142" s="374">
        <f>S142-D142-E142</f>
        <v>985.78200000000652</v>
      </c>
    </row>
    <row r="143" spans="1:20" s="7" customFormat="1" ht="19.5" thickBot="1" x14ac:dyDescent="0.35">
      <c r="A143" s="512" t="s">
        <v>20</v>
      </c>
      <c r="B143" s="513"/>
      <c r="C143" s="513"/>
      <c r="D143" s="513"/>
      <c r="E143" s="513"/>
      <c r="F143" s="513"/>
      <c r="G143" s="513"/>
      <c r="H143" s="513"/>
      <c r="I143" s="513"/>
      <c r="J143" s="513"/>
      <c r="K143" s="513"/>
      <c r="L143" s="513"/>
      <c r="M143" s="513"/>
      <c r="N143" s="513"/>
      <c r="O143" s="513"/>
      <c r="P143" s="514"/>
      <c r="Q143" s="106"/>
    </row>
    <row r="144" spans="1:20" ht="38.25" customHeight="1" x14ac:dyDescent="0.25">
      <c r="A144" s="145" t="s">
        <v>42</v>
      </c>
      <c r="B144" s="146" t="s">
        <v>208</v>
      </c>
      <c r="C144" s="524" t="s">
        <v>393</v>
      </c>
      <c r="D144" s="147"/>
      <c r="E144" s="148">
        <v>438.3</v>
      </c>
      <c r="F144" s="149"/>
      <c r="G144" s="150"/>
      <c r="H144" s="147"/>
      <c r="I144" s="148">
        <v>438.3</v>
      </c>
      <c r="J144" s="149"/>
      <c r="K144" s="152"/>
      <c r="L144" s="153"/>
      <c r="M144" s="154">
        <v>206.976</v>
      </c>
      <c r="N144" s="149"/>
      <c r="O144" s="150"/>
      <c r="P144" s="151"/>
      <c r="Q144" s="106">
        <f t="shared" si="5"/>
        <v>0.47222450376454483</v>
      </c>
    </row>
    <row r="145" spans="1:20" ht="63.75" x14ac:dyDescent="0.25">
      <c r="A145" s="155" t="s">
        <v>209</v>
      </c>
      <c r="B145" s="156" t="s">
        <v>210</v>
      </c>
      <c r="C145" s="525"/>
      <c r="D145" s="136"/>
      <c r="E145" s="137">
        <v>187.8</v>
      </c>
      <c r="F145" s="138"/>
      <c r="G145" s="139"/>
      <c r="H145" s="136"/>
      <c r="I145" s="137">
        <v>187.8</v>
      </c>
      <c r="J145" s="138"/>
      <c r="K145" s="157"/>
      <c r="L145" s="158"/>
      <c r="M145" s="159">
        <v>0</v>
      </c>
      <c r="N145" s="138"/>
      <c r="O145" s="139"/>
      <c r="P145" s="140"/>
      <c r="Q145" s="106">
        <f t="shared" ref="Q145" si="6">M145/E145</f>
        <v>0</v>
      </c>
    </row>
    <row r="146" spans="1:20" ht="128.25" thickBot="1" x14ac:dyDescent="0.3">
      <c r="A146" s="375" t="s">
        <v>396</v>
      </c>
      <c r="B146" s="331" t="s">
        <v>397</v>
      </c>
      <c r="C146" s="526"/>
      <c r="D146" s="136">
        <v>1772.6</v>
      </c>
      <c r="E146" s="137"/>
      <c r="F146" s="138"/>
      <c r="G146" s="139"/>
      <c r="H146" s="136">
        <v>1722.6</v>
      </c>
      <c r="I146" s="137"/>
      <c r="J146" s="138"/>
      <c r="K146" s="157"/>
      <c r="L146" s="158"/>
      <c r="M146" s="159">
        <v>0</v>
      </c>
      <c r="N146" s="138"/>
      <c r="O146" s="139"/>
      <c r="P146" s="140"/>
      <c r="Q146" s="106" t="e">
        <f t="shared" si="5"/>
        <v>#DIV/0!</v>
      </c>
    </row>
    <row r="147" spans="1:20" s="7" customFormat="1" ht="15.75" thickBot="1" x14ac:dyDescent="0.3">
      <c r="A147" s="119"/>
      <c r="B147" s="120" t="s">
        <v>10</v>
      </c>
      <c r="C147" s="141"/>
      <c r="D147" s="144">
        <f>D144+D146</f>
        <v>1772.6</v>
      </c>
      <c r="E147" s="160">
        <f>E144+E146+E145</f>
        <v>626.1</v>
      </c>
      <c r="F147" s="142"/>
      <c r="G147" s="125"/>
      <c r="H147" s="144">
        <f>H144+H146</f>
        <v>1722.6</v>
      </c>
      <c r="I147" s="160">
        <f>I144+I146+I145</f>
        <v>626.1</v>
      </c>
      <c r="J147" s="142"/>
      <c r="K147" s="161"/>
      <c r="L147" s="144">
        <f>L144+L146</f>
        <v>0</v>
      </c>
      <c r="M147" s="160">
        <f>M144+M146+M145</f>
        <v>206.976</v>
      </c>
      <c r="N147" s="142"/>
      <c r="O147" s="125"/>
      <c r="P147" s="126"/>
      <c r="Q147" s="106">
        <f t="shared" si="5"/>
        <v>0.33057977958792523</v>
      </c>
    </row>
    <row r="148" spans="1:20" s="7" customFormat="1" ht="19.5" thickBot="1" x14ac:dyDescent="0.35">
      <c r="A148" s="512" t="s">
        <v>287</v>
      </c>
      <c r="B148" s="513"/>
      <c r="C148" s="513"/>
      <c r="D148" s="513"/>
      <c r="E148" s="513"/>
      <c r="F148" s="513"/>
      <c r="G148" s="513"/>
      <c r="H148" s="513"/>
      <c r="I148" s="513"/>
      <c r="J148" s="513"/>
      <c r="K148" s="513"/>
      <c r="L148" s="513"/>
      <c r="M148" s="513"/>
      <c r="N148" s="513"/>
      <c r="O148" s="513"/>
      <c r="P148" s="514"/>
      <c r="Q148" s="106"/>
      <c r="S148" s="7">
        <v>2348.6999999999998</v>
      </c>
      <c r="T148" s="376">
        <f>S148-D147-E147</f>
        <v>-50.000000000000114</v>
      </c>
    </row>
    <row r="149" spans="1:20" s="7" customFormat="1" ht="51" customHeight="1" x14ac:dyDescent="0.25">
      <c r="A149" s="162" t="s">
        <v>281</v>
      </c>
      <c r="B149" s="163" t="s">
        <v>282</v>
      </c>
      <c r="C149" s="524" t="s">
        <v>393</v>
      </c>
      <c r="D149" s="147"/>
      <c r="E149" s="164">
        <f>100214.1+147774.7</f>
        <v>247988.80000000002</v>
      </c>
      <c r="F149" s="165"/>
      <c r="G149" s="166"/>
      <c r="H149" s="147"/>
      <c r="I149" s="164">
        <f>100214.1+147774.7</f>
        <v>247988.80000000002</v>
      </c>
      <c r="J149" s="165"/>
      <c r="K149" s="167"/>
      <c r="L149" s="168"/>
      <c r="M149" s="165">
        <f>40401.79494+66270.489</f>
        <v>106672.28393999999</v>
      </c>
      <c r="N149" s="149"/>
      <c r="O149" s="150"/>
      <c r="P149" s="151"/>
      <c r="Q149" s="106">
        <f t="shared" si="5"/>
        <v>0.43014960328853558</v>
      </c>
    </row>
    <row r="150" spans="1:20" s="7" customFormat="1" ht="89.25" x14ac:dyDescent="0.25">
      <c r="A150" s="43" t="s">
        <v>283</v>
      </c>
      <c r="B150" s="44" t="s">
        <v>284</v>
      </c>
      <c r="C150" s="525"/>
      <c r="D150" s="61"/>
      <c r="E150" s="130">
        <v>0</v>
      </c>
      <c r="F150" s="47"/>
      <c r="G150" s="92"/>
      <c r="H150" s="61"/>
      <c r="I150" s="130">
        <v>0</v>
      </c>
      <c r="J150" s="47"/>
      <c r="K150" s="93"/>
      <c r="L150" s="82"/>
      <c r="M150" s="47">
        <v>0</v>
      </c>
      <c r="N150" s="23"/>
      <c r="O150" s="58"/>
      <c r="P150" s="36"/>
      <c r="Q150" s="106" t="e">
        <f t="shared" si="5"/>
        <v>#DIV/0!</v>
      </c>
    </row>
    <row r="151" spans="1:20" s="7" customFormat="1" ht="77.25" thickBot="1" x14ac:dyDescent="0.3">
      <c r="A151" s="169" t="s">
        <v>285</v>
      </c>
      <c r="B151" s="170" t="s">
        <v>317</v>
      </c>
      <c r="C151" s="526"/>
      <c r="D151" s="136"/>
      <c r="E151" s="171">
        <v>2500</v>
      </c>
      <c r="F151" s="113"/>
      <c r="G151" s="114"/>
      <c r="H151" s="136"/>
      <c r="I151" s="171">
        <v>2500</v>
      </c>
      <c r="J151" s="113"/>
      <c r="K151" s="115"/>
      <c r="L151" s="111"/>
      <c r="M151" s="113">
        <v>483.61700000000002</v>
      </c>
      <c r="N151" s="138"/>
      <c r="O151" s="139"/>
      <c r="P151" s="140"/>
      <c r="Q151" s="106">
        <f t="shared" si="5"/>
        <v>0.1934468</v>
      </c>
    </row>
    <row r="152" spans="1:20" s="7" customFormat="1" ht="15.75" thickBot="1" x14ac:dyDescent="0.3">
      <c r="A152" s="119"/>
      <c r="B152" s="120" t="s">
        <v>10</v>
      </c>
      <c r="C152" s="121"/>
      <c r="D152" s="144">
        <f>D150+D151+D149</f>
        <v>0</v>
      </c>
      <c r="E152" s="143">
        <f>E150+E151+E149</f>
        <v>250488.80000000002</v>
      </c>
      <c r="F152" s="142"/>
      <c r="G152" s="125"/>
      <c r="H152" s="144">
        <f>H150+H151+H149</f>
        <v>0</v>
      </c>
      <c r="I152" s="143">
        <f>I150+I151+I149</f>
        <v>250488.80000000002</v>
      </c>
      <c r="J152" s="142"/>
      <c r="K152" s="161"/>
      <c r="L152" s="144">
        <f>L150+L151+L149</f>
        <v>0</v>
      </c>
      <c r="M152" s="143">
        <f>M150+M151+M149</f>
        <v>107155.90093999999</v>
      </c>
      <c r="N152" s="142"/>
      <c r="O152" s="125"/>
      <c r="P152" s="126"/>
      <c r="Q152" s="106">
        <f t="shared" si="5"/>
        <v>0.42778719423782613</v>
      </c>
    </row>
    <row r="153" spans="1:20" ht="15.75" thickBot="1" x14ac:dyDescent="0.3">
      <c r="A153" s="222"/>
      <c r="B153" s="223" t="s">
        <v>11</v>
      </c>
      <c r="C153" s="224"/>
      <c r="D153" s="226">
        <f>D152+D147+D142+D115+D89+D59</f>
        <v>1984439.6</v>
      </c>
      <c r="E153" s="226">
        <f>E152+E147+E142+E115+E89+E59</f>
        <v>6603556.1999999993</v>
      </c>
      <c r="F153" s="228"/>
      <c r="G153" s="229"/>
      <c r="H153" s="226">
        <f>H152+H147+H142+H115+H89+H59</f>
        <v>1824224.882</v>
      </c>
      <c r="I153" s="226">
        <f>I152+I147+I142+I115+I89+I59</f>
        <v>6605744.4999999991</v>
      </c>
      <c r="J153" s="228"/>
      <c r="K153" s="230"/>
      <c r="L153" s="226">
        <f>L59+L89+L115+L142+L147+L152</f>
        <v>970124.40622</v>
      </c>
      <c r="M153" s="227">
        <f>M59+M89+M115+M142+M147+M152</f>
        <v>4102742.4881199994</v>
      </c>
      <c r="N153" s="228"/>
      <c r="O153" s="229"/>
      <c r="P153" s="225"/>
      <c r="Q153" s="106">
        <f>M153/E153</f>
        <v>0.62129288581204167</v>
      </c>
      <c r="R153" s="129">
        <f>L153/D153</f>
        <v>0.48886567584117951</v>
      </c>
    </row>
    <row r="154" spans="1:20" x14ac:dyDescent="0.25">
      <c r="E154" s="16"/>
      <c r="I154" s="16"/>
      <c r="M154" s="8"/>
    </row>
    <row r="155" spans="1:20" ht="15.75" customHeight="1" x14ac:dyDescent="0.25">
      <c r="A155" s="523" t="s">
        <v>311</v>
      </c>
      <c r="B155" s="523"/>
      <c r="C155" s="523"/>
      <c r="D155" s="523"/>
      <c r="E155" s="523"/>
      <c r="F155" s="523"/>
      <c r="G155" s="523"/>
      <c r="H155" s="523"/>
      <c r="I155" s="523"/>
      <c r="J155" s="523"/>
      <c r="K155" s="523"/>
      <c r="L155" s="523"/>
      <c r="M155" s="523"/>
      <c r="N155" s="523"/>
      <c r="O155" s="523"/>
      <c r="P155" s="523"/>
    </row>
    <row r="156" spans="1:20" ht="15.75" customHeight="1" x14ac:dyDescent="0.25">
      <c r="A156" s="523" t="s">
        <v>312</v>
      </c>
      <c r="B156" s="523"/>
      <c r="C156" s="523"/>
      <c r="D156" s="523"/>
      <c r="E156" s="523"/>
      <c r="F156" s="523"/>
      <c r="G156" s="523"/>
      <c r="H156" s="523"/>
      <c r="I156" s="523"/>
      <c r="J156" s="523"/>
      <c r="K156" s="523"/>
      <c r="L156" s="523"/>
      <c r="M156" s="523"/>
      <c r="N156" s="523"/>
      <c r="O156" s="523"/>
      <c r="P156" s="523"/>
    </row>
    <row r="157" spans="1:20" x14ac:dyDescent="0.25">
      <c r="D157" s="347">
        <f>D153+E153-E158</f>
        <v>8562759.6999999993</v>
      </c>
      <c r="E157" s="17">
        <v>6578320.0999999996</v>
      </c>
      <c r="H157" s="347">
        <f>H153+I153-I158</f>
        <v>8402544.9820000008</v>
      </c>
      <c r="I157" s="17">
        <v>6578320.0999999996</v>
      </c>
    </row>
    <row r="158" spans="1:20" x14ac:dyDescent="0.25">
      <c r="D158" s="12">
        <v>8563795.5</v>
      </c>
      <c r="E158" s="346">
        <f>E153-E157</f>
        <v>25236.099999999627</v>
      </c>
      <c r="H158" s="12">
        <v>8563795.5</v>
      </c>
      <c r="I158" s="346">
        <f>I153-I157</f>
        <v>27424.399999999441</v>
      </c>
    </row>
    <row r="159" spans="1:20" x14ac:dyDescent="0.25">
      <c r="D159" s="347">
        <f>D157-D158</f>
        <v>-1035.8000000007451</v>
      </c>
      <c r="H159" s="347">
        <f>H157-H158</f>
        <v>-161250.51799999923</v>
      </c>
    </row>
  </sheetData>
  <mergeCells count="37">
    <mergeCell ref="O4:P4"/>
    <mergeCell ref="A155:P155"/>
    <mergeCell ref="A148:P148"/>
    <mergeCell ref="C149:C151"/>
    <mergeCell ref="A156:P156"/>
    <mergeCell ref="A116:P116"/>
    <mergeCell ref="A143:P143"/>
    <mergeCell ref="C144:C146"/>
    <mergeCell ref="C28:C30"/>
    <mergeCell ref="C33:C39"/>
    <mergeCell ref="C40:C50"/>
    <mergeCell ref="C51:C57"/>
    <mergeCell ref="C61:C67"/>
    <mergeCell ref="C68:C77"/>
    <mergeCell ref="C126:C130"/>
    <mergeCell ref="C131:C140"/>
    <mergeCell ref="A2:P2"/>
    <mergeCell ref="A3:P3"/>
    <mergeCell ref="A90:P90"/>
    <mergeCell ref="P5:P6"/>
    <mergeCell ref="A8:P8"/>
    <mergeCell ref="A60:P60"/>
    <mergeCell ref="A5:A6"/>
    <mergeCell ref="B5:B6"/>
    <mergeCell ref="C5:C6"/>
    <mergeCell ref="D5:G5"/>
    <mergeCell ref="H5:K5"/>
    <mergeCell ref="L5:O5"/>
    <mergeCell ref="B31:B32"/>
    <mergeCell ref="A31:A32"/>
    <mergeCell ref="C9:C19"/>
    <mergeCell ref="C20:C27"/>
    <mergeCell ref="C78:C85"/>
    <mergeCell ref="C86:C87"/>
    <mergeCell ref="C91:C98"/>
    <mergeCell ref="C99:C114"/>
    <mergeCell ref="C117:C125"/>
  </mergeCells>
  <pageMargins left="0" right="0" top="0.51" bottom="0.32" header="0.31496062992125984" footer="0.31496062992125984"/>
  <pageSetup paperSize="9" scale="73" fitToHeight="0" orientation="landscape" r:id="rId1"/>
  <rowBreaks count="1" manualBreakCount="1">
    <brk id="1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opLeftCell="A151" zoomScaleNormal="100" workbookViewId="0">
      <selection activeCell="B163" sqref="B163"/>
    </sheetView>
  </sheetViews>
  <sheetFormatPr defaultRowHeight="15" x14ac:dyDescent="0.25"/>
  <cols>
    <col min="1" max="1" width="9.7109375" customWidth="1"/>
    <col min="2" max="2" width="42.140625" customWidth="1"/>
    <col min="3" max="3" width="21.42578125" customWidth="1"/>
    <col min="7" max="7" width="36.28515625" customWidth="1"/>
  </cols>
  <sheetData>
    <row r="1" spans="1:7" x14ac:dyDescent="0.25">
      <c r="G1" s="424" t="s">
        <v>442</v>
      </c>
    </row>
    <row r="2" spans="1:7" ht="18.75" x14ac:dyDescent="0.3">
      <c r="A2" s="503" t="s">
        <v>441</v>
      </c>
      <c r="B2" s="503"/>
      <c r="C2" s="503"/>
      <c r="D2" s="503"/>
      <c r="E2" s="503"/>
      <c r="F2" s="503"/>
      <c r="G2" s="503"/>
    </row>
    <row r="3" spans="1:7" ht="18.75" x14ac:dyDescent="0.3">
      <c r="A3" s="503" t="s">
        <v>440</v>
      </c>
      <c r="B3" s="503"/>
      <c r="C3" s="503"/>
      <c r="D3" s="503"/>
      <c r="E3" s="503"/>
      <c r="F3" s="503"/>
      <c r="G3" s="503"/>
    </row>
    <row r="4" spans="1:7" ht="18.75" x14ac:dyDescent="0.3">
      <c r="A4" s="2"/>
      <c r="B4" s="2"/>
      <c r="C4" s="423"/>
      <c r="D4" s="10"/>
      <c r="E4" s="10"/>
      <c r="F4" s="422"/>
      <c r="G4" s="421"/>
    </row>
    <row r="5" spans="1:7" ht="102" x14ac:dyDescent="0.25">
      <c r="A5" s="378" t="s">
        <v>0</v>
      </c>
      <c r="B5" s="378" t="s">
        <v>1</v>
      </c>
      <c r="C5" s="378" t="s">
        <v>439</v>
      </c>
      <c r="D5" s="378" t="s">
        <v>438</v>
      </c>
      <c r="E5" s="378" t="s">
        <v>437</v>
      </c>
      <c r="F5" s="378" t="s">
        <v>436</v>
      </c>
      <c r="G5" s="378" t="s">
        <v>435</v>
      </c>
    </row>
    <row r="6" spans="1:7" x14ac:dyDescent="0.25">
      <c r="A6" s="377">
        <v>1</v>
      </c>
      <c r="B6" s="377">
        <v>2</v>
      </c>
      <c r="C6" s="377">
        <v>3</v>
      </c>
      <c r="D6" s="377">
        <v>4</v>
      </c>
      <c r="E6" s="377">
        <v>5</v>
      </c>
      <c r="F6" s="377">
        <v>6</v>
      </c>
      <c r="G6" s="377">
        <v>7</v>
      </c>
    </row>
    <row r="7" spans="1:7" x14ac:dyDescent="0.25">
      <c r="A7" s="527" t="s">
        <v>9</v>
      </c>
      <c r="B7" s="527"/>
      <c r="C7" s="527"/>
      <c r="D7" s="527"/>
      <c r="E7" s="527"/>
      <c r="F7" s="527"/>
      <c r="G7" s="527"/>
    </row>
    <row r="8" spans="1:7" ht="25.5" x14ac:dyDescent="0.25">
      <c r="A8" s="236" t="s">
        <v>32</v>
      </c>
      <c r="B8" s="237" t="s">
        <v>43</v>
      </c>
      <c r="C8" s="416"/>
      <c r="D8" s="416"/>
      <c r="E8" s="416"/>
      <c r="F8" s="416"/>
      <c r="G8" s="416"/>
    </row>
    <row r="9" spans="1:7" ht="25.5" x14ac:dyDescent="0.25">
      <c r="A9" s="236" t="s">
        <v>33</v>
      </c>
      <c r="B9" s="237" t="s">
        <v>44</v>
      </c>
      <c r="C9" s="416"/>
      <c r="D9" s="416"/>
      <c r="E9" s="416"/>
      <c r="F9" s="416"/>
      <c r="G9" s="416"/>
    </row>
    <row r="10" spans="1:7" ht="26.25" thickBot="1" x14ac:dyDescent="0.3">
      <c r="A10" s="240" t="s">
        <v>34</v>
      </c>
      <c r="B10" s="241" t="s">
        <v>45</v>
      </c>
      <c r="C10" s="420"/>
      <c r="D10" s="420"/>
      <c r="E10" s="420"/>
      <c r="F10" s="419"/>
      <c r="G10" s="417"/>
    </row>
    <row r="11" spans="1:7" ht="217.5" thickBot="1" x14ac:dyDescent="0.3">
      <c r="A11" s="236" t="s">
        <v>95</v>
      </c>
      <c r="B11" s="237" t="s">
        <v>46</v>
      </c>
      <c r="C11" s="11" t="s">
        <v>295</v>
      </c>
      <c r="D11" s="454">
        <v>0.47</v>
      </c>
      <c r="E11" s="455">
        <v>0.47</v>
      </c>
      <c r="F11" s="396">
        <f>E11/D11</f>
        <v>1</v>
      </c>
      <c r="G11" s="416"/>
    </row>
    <row r="12" spans="1:7" ht="179.25" thickBot="1" x14ac:dyDescent="0.3">
      <c r="A12" s="236"/>
      <c r="B12" s="237">
        <v>0</v>
      </c>
      <c r="C12" s="11" t="s">
        <v>296</v>
      </c>
      <c r="D12" s="456">
        <v>0.05</v>
      </c>
      <c r="E12" s="455">
        <v>0.05</v>
      </c>
      <c r="F12" s="396">
        <f>E12/D12</f>
        <v>1</v>
      </c>
      <c r="G12" s="416"/>
    </row>
    <row r="13" spans="1:7" x14ac:dyDescent="0.25">
      <c r="A13" s="236" t="s">
        <v>96</v>
      </c>
      <c r="B13" s="237">
        <v>0</v>
      </c>
      <c r="C13" s="418"/>
      <c r="D13" s="418"/>
      <c r="E13" s="418"/>
      <c r="F13" s="418"/>
      <c r="G13" s="416"/>
    </row>
    <row r="14" spans="1:7" ht="38.25" x14ac:dyDescent="0.25">
      <c r="A14" s="236" t="s">
        <v>35</v>
      </c>
      <c r="B14" s="237" t="s">
        <v>149</v>
      </c>
      <c r="C14" s="416"/>
      <c r="D14" s="416"/>
      <c r="E14" s="416"/>
      <c r="F14" s="416"/>
      <c r="G14" s="416"/>
    </row>
    <row r="15" spans="1:7" ht="25.5" x14ac:dyDescent="0.25">
      <c r="A15" s="240" t="s">
        <v>36</v>
      </c>
      <c r="B15" s="241" t="s">
        <v>37</v>
      </c>
      <c r="C15" s="417"/>
      <c r="D15" s="417"/>
      <c r="E15" s="417"/>
      <c r="F15" s="416"/>
      <c r="G15" s="416"/>
    </row>
    <row r="16" spans="1:7" ht="25.5" x14ac:dyDescent="0.25">
      <c r="A16" s="236" t="s">
        <v>97</v>
      </c>
      <c r="B16" s="237" t="s">
        <v>47</v>
      </c>
      <c r="C16" s="389"/>
      <c r="D16" s="46"/>
      <c r="E16" s="46"/>
      <c r="F16" s="46"/>
      <c r="G16" s="389"/>
    </row>
    <row r="17" spans="1:7" ht="25.5" x14ac:dyDescent="0.25">
      <c r="A17" s="236" t="s">
        <v>98</v>
      </c>
      <c r="B17" s="237" t="s">
        <v>48</v>
      </c>
      <c r="C17" s="389"/>
      <c r="D17" s="46"/>
      <c r="E17" s="46"/>
      <c r="F17" s="46"/>
      <c r="G17" s="389"/>
    </row>
    <row r="18" spans="1:7" ht="38.25" x14ac:dyDescent="0.25">
      <c r="A18" s="236" t="s">
        <v>99</v>
      </c>
      <c r="B18" s="237" t="s">
        <v>49</v>
      </c>
      <c r="C18" s="389"/>
      <c r="D18" s="46"/>
      <c r="E18" s="46"/>
      <c r="F18" s="46"/>
      <c r="G18" s="389"/>
    </row>
    <row r="19" spans="1:7" ht="25.5" x14ac:dyDescent="0.25">
      <c r="A19" s="236" t="s">
        <v>100</v>
      </c>
      <c r="B19" s="237" t="s">
        <v>150</v>
      </c>
      <c r="C19" s="389"/>
      <c r="D19" s="46"/>
      <c r="E19" s="46"/>
      <c r="F19" s="46"/>
      <c r="G19" s="389"/>
    </row>
    <row r="20" spans="1:7" ht="25.5" x14ac:dyDescent="0.25">
      <c r="A20" s="236" t="s">
        <v>101</v>
      </c>
      <c r="B20" s="237" t="s">
        <v>50</v>
      </c>
      <c r="C20" s="389"/>
      <c r="D20" s="46"/>
      <c r="E20" s="46"/>
      <c r="F20" s="46"/>
      <c r="G20" s="389"/>
    </row>
    <row r="21" spans="1:7" ht="38.25" x14ac:dyDescent="0.25">
      <c r="A21" s="236" t="s">
        <v>102</v>
      </c>
      <c r="B21" s="237" t="s">
        <v>51</v>
      </c>
      <c r="C21" s="389"/>
      <c r="D21" s="46"/>
      <c r="E21" s="46"/>
      <c r="F21" s="46"/>
      <c r="G21" s="389"/>
    </row>
    <row r="22" spans="1:7" ht="25.5" x14ac:dyDescent="0.25">
      <c r="A22" s="236" t="s">
        <v>103</v>
      </c>
      <c r="B22" s="237" t="s">
        <v>52</v>
      </c>
      <c r="C22" s="389"/>
      <c r="D22" s="46"/>
      <c r="E22" s="46"/>
      <c r="F22" s="46"/>
      <c r="G22" s="389"/>
    </row>
    <row r="23" spans="1:7" ht="178.5" x14ac:dyDescent="0.25">
      <c r="A23" s="236" t="s">
        <v>104</v>
      </c>
      <c r="B23" s="237" t="s">
        <v>53</v>
      </c>
      <c r="C23" s="389"/>
      <c r="D23" s="46"/>
      <c r="E23" s="46"/>
      <c r="F23" s="46"/>
      <c r="G23" s="389"/>
    </row>
    <row r="24" spans="1:7" ht="63.75" x14ac:dyDescent="0.25">
      <c r="A24" s="236" t="s">
        <v>105</v>
      </c>
      <c r="B24" s="237" t="s">
        <v>54</v>
      </c>
      <c r="C24" s="389"/>
      <c r="D24" s="46"/>
      <c r="E24" s="46"/>
      <c r="F24" s="46"/>
      <c r="G24" s="389"/>
    </row>
    <row r="25" spans="1:7" ht="38.25" x14ac:dyDescent="0.25">
      <c r="A25" s="236" t="s">
        <v>106</v>
      </c>
      <c r="B25" s="237" t="s">
        <v>55</v>
      </c>
      <c r="C25" s="389"/>
      <c r="D25" s="46"/>
      <c r="E25" s="46"/>
      <c r="F25" s="46"/>
      <c r="G25" s="389"/>
    </row>
    <row r="26" spans="1:7" ht="38.25" x14ac:dyDescent="0.25">
      <c r="A26" s="236" t="s">
        <v>107</v>
      </c>
      <c r="B26" s="237" t="s">
        <v>56</v>
      </c>
      <c r="C26" s="389"/>
      <c r="D26" s="46"/>
      <c r="E26" s="46"/>
      <c r="F26" s="46"/>
      <c r="G26" s="389"/>
    </row>
    <row r="27" spans="1:7" ht="38.25" x14ac:dyDescent="0.25">
      <c r="A27" s="236" t="s">
        <v>108</v>
      </c>
      <c r="B27" s="237" t="s">
        <v>57</v>
      </c>
      <c r="C27" s="389"/>
      <c r="D27" s="46"/>
      <c r="E27" s="46"/>
      <c r="F27" s="46"/>
      <c r="G27" s="389"/>
    </row>
    <row r="28" spans="1:7" ht="165.75" x14ac:dyDescent="0.25">
      <c r="A28" s="236" t="s">
        <v>109</v>
      </c>
      <c r="B28" s="237" t="s">
        <v>151</v>
      </c>
      <c r="C28" s="389"/>
      <c r="D28" s="46"/>
      <c r="E28" s="46"/>
      <c r="F28" s="46"/>
      <c r="G28" s="389"/>
    </row>
    <row r="29" spans="1:7" ht="51" x14ac:dyDescent="0.25">
      <c r="A29" s="236" t="s">
        <v>110</v>
      </c>
      <c r="B29" s="237" t="s">
        <v>58</v>
      </c>
      <c r="C29" s="389"/>
      <c r="D29" s="46"/>
      <c r="E29" s="46"/>
      <c r="F29" s="46"/>
      <c r="G29" s="389"/>
    </row>
    <row r="30" spans="1:7" ht="38.25" x14ac:dyDescent="0.25">
      <c r="A30" s="236" t="s">
        <v>111</v>
      </c>
      <c r="B30" s="237" t="s">
        <v>59</v>
      </c>
      <c r="C30" s="389"/>
      <c r="D30" s="46"/>
      <c r="E30" s="46"/>
      <c r="F30" s="46"/>
      <c r="G30" s="389"/>
    </row>
    <row r="31" spans="1:7" x14ac:dyDescent="0.25">
      <c r="A31" s="236" t="s">
        <v>112</v>
      </c>
      <c r="B31" s="237" t="s">
        <v>12</v>
      </c>
      <c r="C31" s="389"/>
      <c r="D31" s="46"/>
      <c r="E31" s="46"/>
      <c r="F31" s="46"/>
      <c r="G31" s="389"/>
    </row>
    <row r="32" spans="1:7" ht="25.5" x14ac:dyDescent="0.25">
      <c r="A32" s="236" t="s">
        <v>113</v>
      </c>
      <c r="B32" s="237" t="s">
        <v>152</v>
      </c>
      <c r="C32" s="389"/>
      <c r="D32" s="46"/>
      <c r="E32" s="46"/>
      <c r="F32" s="46"/>
      <c r="G32" s="389"/>
    </row>
    <row r="33" spans="1:7" ht="25.5" x14ac:dyDescent="0.25">
      <c r="A33" s="236" t="s">
        <v>114</v>
      </c>
      <c r="B33" s="237" t="s">
        <v>60</v>
      </c>
      <c r="C33" s="389"/>
      <c r="D33" s="46"/>
      <c r="E33" s="46"/>
      <c r="F33" s="46"/>
      <c r="G33" s="389"/>
    </row>
    <row r="34" spans="1:7" ht="38.25" x14ac:dyDescent="0.25">
      <c r="A34" s="236" t="s">
        <v>115</v>
      </c>
      <c r="B34" s="237" t="s">
        <v>61</v>
      </c>
      <c r="C34" s="389"/>
      <c r="D34" s="46"/>
      <c r="E34" s="46"/>
      <c r="F34" s="46"/>
      <c r="G34" s="389"/>
    </row>
    <row r="35" spans="1:7" ht="25.5" x14ac:dyDescent="0.25">
      <c r="A35" s="236" t="s">
        <v>116</v>
      </c>
      <c r="B35" s="237" t="s">
        <v>62</v>
      </c>
      <c r="C35" s="389"/>
      <c r="D35" s="46"/>
      <c r="E35" s="46"/>
      <c r="F35" s="46"/>
      <c r="G35" s="389"/>
    </row>
    <row r="36" spans="1:7" ht="38.25" x14ac:dyDescent="0.25">
      <c r="A36" s="236" t="s">
        <v>117</v>
      </c>
      <c r="B36" s="237" t="s">
        <v>63</v>
      </c>
      <c r="C36" s="389"/>
      <c r="D36" s="46"/>
      <c r="E36" s="46"/>
      <c r="F36" s="46"/>
      <c r="G36" s="389"/>
    </row>
    <row r="37" spans="1:7" ht="51" x14ac:dyDescent="0.25">
      <c r="A37" s="236" t="s">
        <v>118</v>
      </c>
      <c r="B37" s="237" t="s">
        <v>64</v>
      </c>
      <c r="C37" s="389"/>
      <c r="D37" s="46"/>
      <c r="E37" s="46"/>
      <c r="F37" s="46"/>
      <c r="G37" s="389"/>
    </row>
    <row r="38" spans="1:7" ht="25.5" x14ac:dyDescent="0.25">
      <c r="A38" s="236" t="s">
        <v>119</v>
      </c>
      <c r="B38" s="237" t="s">
        <v>65</v>
      </c>
      <c r="C38" s="389"/>
      <c r="D38" s="46"/>
      <c r="E38" s="46"/>
      <c r="F38" s="46"/>
      <c r="G38" s="389"/>
    </row>
    <row r="39" spans="1:7" ht="51" x14ac:dyDescent="0.25">
      <c r="A39" s="236" t="s">
        <v>120</v>
      </c>
      <c r="B39" s="237" t="s">
        <v>13</v>
      </c>
      <c r="C39" s="389"/>
      <c r="D39" s="46"/>
      <c r="E39" s="46"/>
      <c r="F39" s="46"/>
      <c r="G39" s="389"/>
    </row>
    <row r="40" spans="1:7" ht="38.25" x14ac:dyDescent="0.25">
      <c r="A40" s="236" t="s">
        <v>121</v>
      </c>
      <c r="B40" s="237" t="s">
        <v>66</v>
      </c>
      <c r="C40" s="389"/>
      <c r="D40" s="46"/>
      <c r="E40" s="46"/>
      <c r="F40" s="46"/>
      <c r="G40" s="389"/>
    </row>
    <row r="41" spans="1:7" ht="38.25" x14ac:dyDescent="0.25">
      <c r="A41" s="236" t="s">
        <v>122</v>
      </c>
      <c r="B41" s="237" t="s">
        <v>67</v>
      </c>
      <c r="C41" s="389"/>
      <c r="D41" s="46"/>
      <c r="E41" s="46"/>
      <c r="F41" s="46"/>
      <c r="G41" s="389"/>
    </row>
    <row r="42" spans="1:7" ht="25.5" x14ac:dyDescent="0.25">
      <c r="A42" s="236" t="s">
        <v>123</v>
      </c>
      <c r="B42" s="237" t="s">
        <v>68</v>
      </c>
      <c r="C42" s="389"/>
      <c r="D42" s="46"/>
      <c r="E42" s="46"/>
      <c r="F42" s="46"/>
      <c r="G42" s="389"/>
    </row>
    <row r="43" spans="1:7" ht="89.25" x14ac:dyDescent="0.25">
      <c r="A43" s="236" t="s">
        <v>124</v>
      </c>
      <c r="B43" s="237" t="s">
        <v>69</v>
      </c>
      <c r="C43" s="389"/>
      <c r="D43" s="46"/>
      <c r="E43" s="46"/>
      <c r="F43" s="46"/>
      <c r="G43" s="389"/>
    </row>
    <row r="44" spans="1:7" ht="25.5" x14ac:dyDescent="0.25">
      <c r="A44" s="236" t="s">
        <v>125</v>
      </c>
      <c r="B44" s="237" t="s">
        <v>70</v>
      </c>
      <c r="C44" s="389"/>
      <c r="D44" s="46"/>
      <c r="E44" s="46"/>
      <c r="F44" s="46"/>
      <c r="G44" s="389"/>
    </row>
    <row r="45" spans="1:7" ht="38.25" x14ac:dyDescent="0.25">
      <c r="A45" s="236" t="s">
        <v>126</v>
      </c>
      <c r="B45" s="237" t="s">
        <v>14</v>
      </c>
      <c r="C45" s="389"/>
      <c r="D45" s="46"/>
      <c r="E45" s="46"/>
      <c r="F45" s="46"/>
      <c r="G45" s="389"/>
    </row>
    <row r="46" spans="1:7" ht="76.5" x14ac:dyDescent="0.25">
      <c r="A46" s="236" t="s">
        <v>153</v>
      </c>
      <c r="B46" s="237" t="s">
        <v>154</v>
      </c>
      <c r="C46" s="389"/>
      <c r="D46" s="46"/>
      <c r="E46" s="46"/>
      <c r="F46" s="46"/>
      <c r="G46" s="389"/>
    </row>
    <row r="47" spans="1:7" ht="51" x14ac:dyDescent="0.25">
      <c r="A47" s="236" t="s">
        <v>155</v>
      </c>
      <c r="B47" s="237" t="s">
        <v>156</v>
      </c>
      <c r="C47" s="389"/>
      <c r="D47" s="46"/>
      <c r="E47" s="46"/>
      <c r="F47" s="46"/>
      <c r="G47" s="389"/>
    </row>
    <row r="48" spans="1:7" ht="38.25" x14ac:dyDescent="0.25">
      <c r="A48" s="236" t="s">
        <v>157</v>
      </c>
      <c r="B48" s="237" t="s">
        <v>71</v>
      </c>
      <c r="C48" s="389"/>
      <c r="D48" s="46"/>
      <c r="E48" s="46"/>
      <c r="F48" s="46"/>
      <c r="G48" s="389"/>
    </row>
    <row r="49" spans="1:7" ht="63.75" x14ac:dyDescent="0.25">
      <c r="A49" s="236" t="s">
        <v>158</v>
      </c>
      <c r="B49" s="237" t="s">
        <v>159</v>
      </c>
      <c r="C49" s="389"/>
      <c r="D49" s="46"/>
      <c r="E49" s="46"/>
      <c r="F49" s="46"/>
      <c r="G49" s="389"/>
    </row>
    <row r="50" spans="1:7" ht="76.5" x14ac:dyDescent="0.25">
      <c r="A50" s="236" t="s">
        <v>160</v>
      </c>
      <c r="B50" s="237" t="s">
        <v>161</v>
      </c>
      <c r="C50" s="389"/>
      <c r="D50" s="46"/>
      <c r="E50" s="46"/>
      <c r="F50" s="46"/>
      <c r="G50" s="389"/>
    </row>
    <row r="51" spans="1:7" ht="38.25" x14ac:dyDescent="0.25">
      <c r="A51" s="236" t="s">
        <v>162</v>
      </c>
      <c r="B51" s="237" t="s">
        <v>163</v>
      </c>
      <c r="C51" s="389"/>
      <c r="D51" s="46"/>
      <c r="E51" s="46"/>
      <c r="F51" s="46"/>
      <c r="G51" s="389"/>
    </row>
    <row r="52" spans="1:7" ht="25.5" x14ac:dyDescent="0.25">
      <c r="A52" s="236" t="s">
        <v>164</v>
      </c>
      <c r="B52" s="237" t="s">
        <v>72</v>
      </c>
      <c r="C52" s="389"/>
      <c r="D52" s="46"/>
      <c r="E52" s="46"/>
      <c r="F52" s="46"/>
      <c r="G52" s="389"/>
    </row>
    <row r="53" spans="1:7" ht="38.25" x14ac:dyDescent="0.25">
      <c r="A53" s="236" t="s">
        <v>165</v>
      </c>
      <c r="B53" s="237" t="s">
        <v>73</v>
      </c>
      <c r="C53" s="389"/>
      <c r="D53" s="46"/>
      <c r="E53" s="46"/>
      <c r="F53" s="46"/>
      <c r="G53" s="389"/>
    </row>
    <row r="54" spans="1:7" ht="38.25" x14ac:dyDescent="0.25">
      <c r="A54" s="236" t="s">
        <v>166</v>
      </c>
      <c r="B54" s="237" t="s">
        <v>74</v>
      </c>
      <c r="C54" s="389"/>
      <c r="D54" s="46"/>
      <c r="E54" s="46"/>
      <c r="F54" s="46"/>
      <c r="G54" s="389"/>
    </row>
    <row r="55" spans="1:7" ht="77.25" x14ac:dyDescent="0.25">
      <c r="A55" s="236" t="s">
        <v>167</v>
      </c>
      <c r="B55" s="237" t="s">
        <v>75</v>
      </c>
      <c r="C55" s="389" t="s">
        <v>539</v>
      </c>
      <c r="D55" s="46">
        <v>67</v>
      </c>
      <c r="E55" s="46">
        <v>67</v>
      </c>
      <c r="F55" s="396">
        <f>E55/D55</f>
        <v>1</v>
      </c>
      <c r="G55" s="389"/>
    </row>
    <row r="56" spans="1:7" ht="63.75" x14ac:dyDescent="0.25">
      <c r="A56" s="319" t="s">
        <v>168</v>
      </c>
      <c r="B56" s="342" t="s">
        <v>169</v>
      </c>
      <c r="C56" s="413"/>
      <c r="D56" s="316"/>
      <c r="E56" s="316"/>
      <c r="F56" s="316"/>
      <c r="G56" s="413"/>
    </row>
    <row r="57" spans="1:7" ht="120" x14ac:dyDescent="0.25">
      <c r="A57" s="319"/>
      <c r="B57" s="342"/>
      <c r="C57" s="415" t="s">
        <v>434</v>
      </c>
      <c r="D57" s="316">
        <v>97.8</v>
      </c>
      <c r="E57" s="316">
        <v>97.8</v>
      </c>
      <c r="F57" s="414">
        <v>1</v>
      </c>
      <c r="G57" s="413"/>
    </row>
    <row r="58" spans="1:7" x14ac:dyDescent="0.25">
      <c r="A58" s="25"/>
      <c r="B58" s="384" t="s">
        <v>10</v>
      </c>
      <c r="C58" s="381"/>
      <c r="D58" s="382"/>
      <c r="E58" s="382"/>
      <c r="F58" s="382"/>
      <c r="G58" s="381"/>
    </row>
    <row r="59" spans="1:7" x14ac:dyDescent="0.25">
      <c r="A59" s="528" t="s">
        <v>15</v>
      </c>
      <c r="B59" s="528"/>
      <c r="C59" s="528"/>
      <c r="D59" s="528"/>
      <c r="E59" s="528"/>
      <c r="F59" s="528"/>
      <c r="G59" s="528"/>
    </row>
    <row r="60" spans="1:7" ht="25.5" x14ac:dyDescent="0.25">
      <c r="A60" s="236" t="s">
        <v>170</v>
      </c>
      <c r="B60" s="237" t="s">
        <v>76</v>
      </c>
      <c r="C60" s="389"/>
      <c r="D60" s="46"/>
      <c r="E60" s="46"/>
      <c r="F60" s="46"/>
      <c r="G60" s="389"/>
    </row>
    <row r="61" spans="1:7" ht="51" x14ac:dyDescent="0.25">
      <c r="A61" s="236" t="s">
        <v>171</v>
      </c>
      <c r="B61" s="237" t="s">
        <v>77</v>
      </c>
      <c r="C61" s="529" t="s">
        <v>433</v>
      </c>
      <c r="D61" s="188"/>
      <c r="E61" s="188"/>
      <c r="F61" s="188"/>
      <c r="G61" s="412"/>
    </row>
    <row r="62" spans="1:7" ht="51" x14ac:dyDescent="0.25">
      <c r="A62" s="236" t="s">
        <v>172</v>
      </c>
      <c r="B62" s="237" t="s">
        <v>173</v>
      </c>
      <c r="C62" s="530"/>
      <c r="D62" s="408"/>
      <c r="E62" s="408"/>
      <c r="F62" s="408"/>
      <c r="G62" s="407"/>
    </row>
    <row r="63" spans="1:7" ht="63.75" x14ac:dyDescent="0.25">
      <c r="A63" s="236" t="s">
        <v>174</v>
      </c>
      <c r="B63" s="237" t="s">
        <v>78</v>
      </c>
      <c r="C63" s="530"/>
      <c r="D63" s="408"/>
      <c r="E63" s="408"/>
      <c r="F63" s="408"/>
      <c r="G63" s="407"/>
    </row>
    <row r="64" spans="1:7" ht="127.5" x14ac:dyDescent="0.25">
      <c r="A64" s="236" t="s">
        <v>175</v>
      </c>
      <c r="B64" s="237" t="s">
        <v>176</v>
      </c>
      <c r="C64" s="530"/>
      <c r="D64" s="411">
        <v>81</v>
      </c>
      <c r="E64" s="410">
        <v>82</v>
      </c>
      <c r="F64" s="409">
        <v>1</v>
      </c>
      <c r="G64" s="342" t="s">
        <v>532</v>
      </c>
    </row>
    <row r="65" spans="1:7" ht="51" x14ac:dyDescent="0.25">
      <c r="A65" s="236" t="s">
        <v>177</v>
      </c>
      <c r="B65" s="237" t="s">
        <v>79</v>
      </c>
      <c r="C65" s="530"/>
      <c r="D65" s="408"/>
      <c r="E65" s="408"/>
      <c r="F65" s="408"/>
      <c r="G65" s="407"/>
    </row>
    <row r="66" spans="1:7" ht="25.5" x14ac:dyDescent="0.25">
      <c r="A66" s="236" t="s">
        <v>178</v>
      </c>
      <c r="B66" s="237" t="s">
        <v>80</v>
      </c>
      <c r="C66" s="530"/>
      <c r="D66" s="408"/>
      <c r="E66" s="408"/>
      <c r="F66" s="408"/>
      <c r="G66" s="407"/>
    </row>
    <row r="67" spans="1:7" ht="51" x14ac:dyDescent="0.25">
      <c r="A67" s="236" t="s">
        <v>179</v>
      </c>
      <c r="B67" s="237" t="s">
        <v>180</v>
      </c>
      <c r="C67" s="530"/>
      <c r="D67" s="408"/>
      <c r="E67" s="408"/>
      <c r="F67" s="408"/>
      <c r="G67" s="407"/>
    </row>
    <row r="68" spans="1:7" ht="89.25" x14ac:dyDescent="0.25">
      <c r="A68" s="236" t="s">
        <v>181</v>
      </c>
      <c r="B68" s="237" t="s">
        <v>182</v>
      </c>
      <c r="C68" s="530"/>
      <c r="D68" s="406"/>
      <c r="E68" s="406"/>
      <c r="F68" s="406"/>
      <c r="G68" s="405"/>
    </row>
    <row r="69" spans="1:7" ht="25.5" x14ac:dyDescent="0.25">
      <c r="A69" s="240" t="s">
        <v>183</v>
      </c>
      <c r="B69" s="241" t="s">
        <v>38</v>
      </c>
      <c r="C69" s="537" t="s">
        <v>332</v>
      </c>
      <c r="D69" s="382"/>
      <c r="E69" s="382"/>
      <c r="F69" s="382"/>
      <c r="G69" s="381"/>
    </row>
    <row r="70" spans="1:7" ht="25.5" x14ac:dyDescent="0.25">
      <c r="A70" s="236" t="s">
        <v>184</v>
      </c>
      <c r="B70" s="237" t="s">
        <v>81</v>
      </c>
      <c r="C70" s="538"/>
      <c r="D70" s="46"/>
      <c r="E70" s="46"/>
      <c r="F70" s="46"/>
      <c r="G70" s="389"/>
    </row>
    <row r="71" spans="1:7" ht="89.25" x14ac:dyDescent="0.25">
      <c r="A71" s="236" t="s">
        <v>185</v>
      </c>
      <c r="B71" s="237" t="s">
        <v>82</v>
      </c>
      <c r="C71" s="538"/>
      <c r="D71" s="46"/>
      <c r="E71" s="46"/>
      <c r="F71" s="46"/>
      <c r="G71" s="389"/>
    </row>
    <row r="72" spans="1:7" ht="25.5" x14ac:dyDescent="0.25">
      <c r="A72" s="236" t="s">
        <v>186</v>
      </c>
      <c r="B72" s="237" t="s">
        <v>83</v>
      </c>
      <c r="C72" s="538"/>
      <c r="D72" s="46"/>
      <c r="E72" s="46"/>
      <c r="F72" s="46"/>
      <c r="G72" s="389"/>
    </row>
    <row r="73" spans="1:7" ht="25.5" x14ac:dyDescent="0.25">
      <c r="A73" s="236" t="s">
        <v>187</v>
      </c>
      <c r="B73" s="237" t="s">
        <v>84</v>
      </c>
      <c r="C73" s="538"/>
      <c r="D73" s="46"/>
      <c r="E73" s="46"/>
      <c r="F73" s="46"/>
      <c r="G73" s="389"/>
    </row>
    <row r="74" spans="1:7" ht="25.5" x14ac:dyDescent="0.25">
      <c r="A74" s="236" t="s">
        <v>188</v>
      </c>
      <c r="B74" s="237" t="s">
        <v>189</v>
      </c>
      <c r="C74" s="538"/>
      <c r="D74" s="46"/>
      <c r="E74" s="46"/>
      <c r="F74" s="46"/>
      <c r="G74" s="389"/>
    </row>
    <row r="75" spans="1:7" ht="51" x14ac:dyDescent="0.25">
      <c r="A75" s="236" t="s">
        <v>190</v>
      </c>
      <c r="B75" s="237" t="s">
        <v>191</v>
      </c>
      <c r="C75" s="538"/>
      <c r="D75" s="46"/>
      <c r="E75" s="46"/>
      <c r="F75" s="46"/>
      <c r="G75" s="389"/>
    </row>
    <row r="76" spans="1:7" ht="38.25" x14ac:dyDescent="0.25">
      <c r="A76" s="236" t="s">
        <v>192</v>
      </c>
      <c r="B76" s="237" t="s">
        <v>85</v>
      </c>
      <c r="C76" s="538"/>
      <c r="D76" s="46"/>
      <c r="E76" s="46"/>
      <c r="F76" s="46"/>
      <c r="G76" s="389"/>
    </row>
    <row r="77" spans="1:7" ht="51" x14ac:dyDescent="0.25">
      <c r="A77" s="236" t="s">
        <v>193</v>
      </c>
      <c r="B77" s="237" t="s">
        <v>86</v>
      </c>
      <c r="C77" s="538"/>
      <c r="D77" s="46"/>
      <c r="E77" s="46"/>
      <c r="F77" s="46"/>
      <c r="G77" s="389"/>
    </row>
    <row r="78" spans="1:7" ht="63.75" x14ac:dyDescent="0.25">
      <c r="A78" s="236" t="s">
        <v>194</v>
      </c>
      <c r="B78" s="237" t="s">
        <v>87</v>
      </c>
      <c r="C78" s="538"/>
      <c r="D78" s="46"/>
      <c r="E78" s="46"/>
      <c r="F78" s="46"/>
      <c r="G78" s="389"/>
    </row>
    <row r="79" spans="1:7" ht="63.75" x14ac:dyDescent="0.25">
      <c r="A79" s="236" t="s">
        <v>195</v>
      </c>
      <c r="B79" s="237" t="s">
        <v>88</v>
      </c>
      <c r="C79" s="538"/>
      <c r="D79" s="46"/>
      <c r="E79" s="46"/>
      <c r="F79" s="46"/>
      <c r="G79" s="389"/>
    </row>
    <row r="80" spans="1:7" ht="63.75" x14ac:dyDescent="0.25">
      <c r="A80" s="236" t="s">
        <v>196</v>
      </c>
      <c r="B80" s="237" t="s">
        <v>89</v>
      </c>
      <c r="C80" s="538"/>
      <c r="D80" s="46"/>
      <c r="E80" s="46"/>
      <c r="F80" s="46"/>
      <c r="G80" s="389"/>
    </row>
    <row r="81" spans="1:7" ht="76.5" x14ac:dyDescent="0.25">
      <c r="A81" s="236" t="s">
        <v>197</v>
      </c>
      <c r="B81" s="237" t="s">
        <v>90</v>
      </c>
      <c r="C81" s="538"/>
      <c r="D81" s="46"/>
      <c r="E81" s="46"/>
      <c r="F81" s="46"/>
      <c r="G81" s="389"/>
    </row>
    <row r="82" spans="1:7" ht="51" x14ac:dyDescent="0.25">
      <c r="A82" s="236" t="s">
        <v>198</v>
      </c>
      <c r="B82" s="237" t="s">
        <v>91</v>
      </c>
      <c r="C82" s="538"/>
      <c r="D82" s="46"/>
      <c r="E82" s="46"/>
      <c r="F82" s="46"/>
      <c r="G82" s="389"/>
    </row>
    <row r="83" spans="1:7" ht="51" x14ac:dyDescent="0.25">
      <c r="A83" s="236" t="s">
        <v>199</v>
      </c>
      <c r="B83" s="237" t="s">
        <v>200</v>
      </c>
      <c r="C83" s="538"/>
      <c r="D83" s="46"/>
      <c r="E83" s="46"/>
      <c r="F83" s="46"/>
      <c r="G83" s="389"/>
    </row>
    <row r="84" spans="1:7" ht="38.25" x14ac:dyDescent="0.25">
      <c r="A84" s="236" t="s">
        <v>201</v>
      </c>
      <c r="B84" s="237" t="s">
        <v>92</v>
      </c>
      <c r="C84" s="538"/>
      <c r="D84" s="404"/>
      <c r="E84" s="403"/>
      <c r="F84" s="396"/>
      <c r="G84" s="389"/>
    </row>
    <row r="85" spans="1:7" ht="51" x14ac:dyDescent="0.25">
      <c r="A85" s="236" t="s">
        <v>202</v>
      </c>
      <c r="B85" s="237" t="s">
        <v>93</v>
      </c>
      <c r="C85" s="539"/>
      <c r="D85" s="46">
        <v>5.75</v>
      </c>
      <c r="E85" s="46">
        <v>5.91</v>
      </c>
      <c r="F85" s="46">
        <f>E85/D85*100</f>
        <v>102.78260869565217</v>
      </c>
      <c r="G85" s="389"/>
    </row>
    <row r="86" spans="1:7" ht="76.5" x14ac:dyDescent="0.25">
      <c r="A86" s="236" t="s">
        <v>203</v>
      </c>
      <c r="B86" s="237" t="s">
        <v>94</v>
      </c>
      <c r="C86" s="540" t="s">
        <v>594</v>
      </c>
      <c r="D86" s="46"/>
      <c r="E86" s="46"/>
      <c r="F86" s="46"/>
      <c r="G86" s="389"/>
    </row>
    <row r="87" spans="1:7" ht="114.75" x14ac:dyDescent="0.25">
      <c r="A87" s="236" t="s">
        <v>204</v>
      </c>
      <c r="B87" s="237" t="s">
        <v>205</v>
      </c>
      <c r="C87" s="541"/>
      <c r="D87" s="46">
        <v>72</v>
      </c>
      <c r="E87" s="46">
        <v>72</v>
      </c>
      <c r="F87" s="396">
        <f>E87/D87</f>
        <v>1</v>
      </c>
      <c r="G87" s="389"/>
    </row>
    <row r="88" spans="1:7" x14ac:dyDescent="0.25">
      <c r="A88" s="25"/>
      <c r="B88" s="384" t="s">
        <v>10</v>
      </c>
      <c r="C88" s="381"/>
      <c r="D88" s="382"/>
      <c r="E88" s="382"/>
      <c r="F88" s="382"/>
      <c r="G88" s="381"/>
    </row>
    <row r="89" spans="1:7" x14ac:dyDescent="0.25">
      <c r="A89" s="531" t="s">
        <v>16</v>
      </c>
      <c r="B89" s="531"/>
      <c r="C89" s="531"/>
      <c r="D89" s="531"/>
      <c r="E89" s="531"/>
      <c r="F89" s="531"/>
      <c r="G89" s="531"/>
    </row>
    <row r="90" spans="1:7" ht="25.5" x14ac:dyDescent="0.25">
      <c r="A90" s="26" t="s">
        <v>211</v>
      </c>
      <c r="B90" s="27" t="s">
        <v>127</v>
      </c>
      <c r="C90" s="402"/>
      <c r="D90" s="398"/>
      <c r="E90" s="401"/>
      <c r="F90" s="401"/>
      <c r="G90" s="381"/>
    </row>
    <row r="91" spans="1:7" ht="140.25" x14ac:dyDescent="0.25">
      <c r="A91" s="26" t="s">
        <v>212</v>
      </c>
      <c r="B91" s="27" t="s">
        <v>128</v>
      </c>
      <c r="C91" s="11" t="s">
        <v>301</v>
      </c>
      <c r="D91" s="400">
        <v>94</v>
      </c>
      <c r="E91" s="47">
        <v>0</v>
      </c>
      <c r="F91" s="396">
        <f>E91/D91</f>
        <v>0</v>
      </c>
      <c r="G91" s="30" t="s">
        <v>544</v>
      </c>
    </row>
    <row r="92" spans="1:7" ht="38.25" x14ac:dyDescent="0.25">
      <c r="A92" s="28" t="s">
        <v>213</v>
      </c>
      <c r="B92" s="29" t="s">
        <v>129</v>
      </c>
      <c r="C92" s="389"/>
      <c r="D92" s="46"/>
      <c r="E92" s="46"/>
      <c r="F92" s="46"/>
      <c r="G92" s="389"/>
    </row>
    <row r="93" spans="1:7" ht="38.25" x14ac:dyDescent="0.25">
      <c r="A93" s="28" t="s">
        <v>214</v>
      </c>
      <c r="B93" s="29" t="s">
        <v>130</v>
      </c>
      <c r="C93" s="389"/>
      <c r="D93" s="46"/>
      <c r="E93" s="46"/>
      <c r="F93" s="46"/>
      <c r="G93" s="389"/>
    </row>
    <row r="94" spans="1:7" ht="51" x14ac:dyDescent="0.25">
      <c r="A94" s="28" t="s">
        <v>215</v>
      </c>
      <c r="B94" s="29" t="s">
        <v>131</v>
      </c>
      <c r="C94" s="389"/>
      <c r="D94" s="46"/>
      <c r="E94" s="46"/>
      <c r="F94" s="46"/>
      <c r="G94" s="389"/>
    </row>
    <row r="95" spans="1:7" ht="51" x14ac:dyDescent="0.25">
      <c r="A95" s="28" t="s">
        <v>216</v>
      </c>
      <c r="B95" s="29" t="s">
        <v>132</v>
      </c>
      <c r="C95" s="389"/>
      <c r="D95" s="46"/>
      <c r="E95" s="46"/>
      <c r="F95" s="46"/>
      <c r="G95" s="389"/>
    </row>
    <row r="96" spans="1:7" ht="51" x14ac:dyDescent="0.25">
      <c r="A96" s="28" t="s">
        <v>217</v>
      </c>
      <c r="B96" s="29" t="s">
        <v>207</v>
      </c>
      <c r="C96" s="389"/>
      <c r="D96" s="46"/>
      <c r="E96" s="46"/>
      <c r="F96" s="46"/>
      <c r="G96" s="389"/>
    </row>
    <row r="97" spans="1:7" ht="38.25" x14ac:dyDescent="0.25">
      <c r="A97" s="28" t="s">
        <v>218</v>
      </c>
      <c r="B97" s="29" t="s">
        <v>133</v>
      </c>
      <c r="C97" s="389"/>
      <c r="D97" s="46"/>
      <c r="E97" s="46"/>
      <c r="F97" s="46"/>
      <c r="G97" s="389"/>
    </row>
    <row r="98" spans="1:7" ht="51" x14ac:dyDescent="0.25">
      <c r="A98" s="28" t="s">
        <v>219</v>
      </c>
      <c r="B98" s="29" t="s">
        <v>134</v>
      </c>
      <c r="C98" s="389"/>
      <c r="D98" s="46"/>
      <c r="E98" s="46"/>
      <c r="F98" s="46"/>
      <c r="G98" s="389"/>
    </row>
    <row r="99" spans="1:7" ht="51" x14ac:dyDescent="0.25">
      <c r="A99" s="28" t="s">
        <v>220</v>
      </c>
      <c r="B99" s="29" t="s">
        <v>135</v>
      </c>
      <c r="C99" s="389"/>
      <c r="D99" s="46"/>
      <c r="E99" s="46"/>
      <c r="F99" s="46"/>
      <c r="G99" s="389"/>
    </row>
    <row r="100" spans="1:7" ht="51" x14ac:dyDescent="0.25">
      <c r="A100" s="28" t="s">
        <v>221</v>
      </c>
      <c r="B100" s="29" t="s">
        <v>136</v>
      </c>
      <c r="C100" s="389"/>
      <c r="D100" s="46"/>
      <c r="E100" s="46"/>
      <c r="F100" s="46"/>
      <c r="G100" s="389"/>
    </row>
    <row r="101" spans="1:7" ht="51" x14ac:dyDescent="0.25">
      <c r="A101" s="26" t="s">
        <v>222</v>
      </c>
      <c r="B101" s="27" t="s">
        <v>137</v>
      </c>
      <c r="C101" s="381"/>
      <c r="D101" s="382"/>
      <c r="E101" s="382"/>
      <c r="F101" s="382"/>
      <c r="G101" s="381"/>
    </row>
    <row r="102" spans="1:7" ht="38.25" x14ac:dyDescent="0.25">
      <c r="A102" s="26" t="s">
        <v>223</v>
      </c>
      <c r="B102" s="27" t="s">
        <v>138</v>
      </c>
      <c r="C102" s="381"/>
      <c r="D102" s="382"/>
      <c r="E102" s="382"/>
      <c r="F102" s="382"/>
      <c r="G102" s="381"/>
    </row>
    <row r="103" spans="1:7" ht="38.25" x14ac:dyDescent="0.25">
      <c r="A103" s="28" t="s">
        <v>224</v>
      </c>
      <c r="B103" s="29" t="s">
        <v>130</v>
      </c>
      <c r="C103" s="389"/>
      <c r="D103" s="46"/>
      <c r="E103" s="46"/>
      <c r="F103" s="46"/>
      <c r="G103" s="389"/>
    </row>
    <row r="104" spans="1:7" ht="51" x14ac:dyDescent="0.25">
      <c r="A104" s="28" t="s">
        <v>225</v>
      </c>
      <c r="B104" s="29" t="s">
        <v>139</v>
      </c>
      <c r="C104" s="389"/>
      <c r="D104" s="46"/>
      <c r="E104" s="46"/>
      <c r="F104" s="46"/>
      <c r="G104" s="389"/>
    </row>
    <row r="105" spans="1:7" ht="25.5" x14ac:dyDescent="0.25">
      <c r="A105" s="26" t="s">
        <v>226</v>
      </c>
      <c r="B105" s="27" t="s">
        <v>140</v>
      </c>
      <c r="C105" s="381"/>
      <c r="D105" s="382"/>
      <c r="E105" s="382"/>
      <c r="F105" s="382"/>
      <c r="G105" s="381"/>
    </row>
    <row r="106" spans="1:7" ht="51" x14ac:dyDescent="0.25">
      <c r="A106" s="28" t="s">
        <v>227</v>
      </c>
      <c r="B106" s="29" t="s">
        <v>141</v>
      </c>
      <c r="C106" s="389"/>
      <c r="D106" s="46"/>
      <c r="E106" s="46"/>
      <c r="F106" s="46"/>
      <c r="G106" s="389"/>
    </row>
    <row r="107" spans="1:7" ht="102" x14ac:dyDescent="0.25">
      <c r="A107" s="26" t="s">
        <v>228</v>
      </c>
      <c r="B107" s="27" t="s">
        <v>142</v>
      </c>
      <c r="C107" s="381"/>
      <c r="D107" s="382"/>
      <c r="E107" s="382"/>
      <c r="F107" s="382"/>
      <c r="G107" s="381"/>
    </row>
    <row r="108" spans="1:7" ht="90" thickBot="1" x14ac:dyDescent="0.3">
      <c r="A108" s="28" t="s">
        <v>229</v>
      </c>
      <c r="B108" s="29" t="s">
        <v>143</v>
      </c>
      <c r="C108" s="389"/>
      <c r="D108" s="46"/>
      <c r="E108" s="397"/>
      <c r="F108" s="46"/>
      <c r="G108" s="389"/>
    </row>
    <row r="109" spans="1:7" ht="179.25" thickBot="1" x14ac:dyDescent="0.3">
      <c r="A109" s="28" t="s">
        <v>230</v>
      </c>
      <c r="B109" s="29" t="s">
        <v>144</v>
      </c>
      <c r="C109" s="399" t="s">
        <v>293</v>
      </c>
      <c r="D109" s="458">
        <v>35.5</v>
      </c>
      <c r="E109" s="459">
        <v>0</v>
      </c>
      <c r="F109" s="396">
        <v>0</v>
      </c>
      <c r="G109" s="460" t="s">
        <v>545</v>
      </c>
    </row>
    <row r="110" spans="1:7" ht="38.25" x14ac:dyDescent="0.25">
      <c r="A110" s="28" t="s">
        <v>231</v>
      </c>
      <c r="B110" s="29" t="s">
        <v>145</v>
      </c>
      <c r="C110" s="389"/>
      <c r="D110" s="46"/>
      <c r="E110" s="397"/>
      <c r="F110" s="46"/>
      <c r="G110" s="389"/>
    </row>
    <row r="111" spans="1:7" ht="89.25" x14ac:dyDescent="0.25">
      <c r="A111" s="28" t="s">
        <v>232</v>
      </c>
      <c r="B111" s="29" t="s">
        <v>146</v>
      </c>
      <c r="C111" s="11" t="s">
        <v>302</v>
      </c>
      <c r="D111" s="235">
        <v>4.8</v>
      </c>
      <c r="E111" s="459">
        <v>0</v>
      </c>
      <c r="F111" s="396">
        <v>0</v>
      </c>
      <c r="G111" s="460" t="s">
        <v>546</v>
      </c>
    </row>
    <row r="112" spans="1:7" x14ac:dyDescent="0.25">
      <c r="A112" s="26" t="s">
        <v>233</v>
      </c>
      <c r="B112" s="27" t="s">
        <v>17</v>
      </c>
      <c r="C112" s="381"/>
      <c r="D112" s="382"/>
      <c r="E112" s="382"/>
      <c r="F112" s="382"/>
      <c r="G112" s="381"/>
    </row>
    <row r="113" spans="1:7" ht="25.5" x14ac:dyDescent="0.25">
      <c r="A113" s="28" t="s">
        <v>234</v>
      </c>
      <c r="B113" s="29" t="s">
        <v>147</v>
      </c>
      <c r="C113" s="389"/>
      <c r="D113" s="46"/>
      <c r="E113" s="46"/>
      <c r="F113" s="46"/>
      <c r="G113" s="389"/>
    </row>
    <row r="114" spans="1:7" x14ac:dyDescent="0.25">
      <c r="A114" s="395"/>
      <c r="B114" s="394" t="s">
        <v>10</v>
      </c>
      <c r="C114" s="387"/>
      <c r="D114" s="393"/>
      <c r="E114" s="393"/>
      <c r="F114" s="388"/>
      <c r="G114" s="387"/>
    </row>
    <row r="115" spans="1:7" x14ac:dyDescent="0.25">
      <c r="A115" s="528" t="s">
        <v>18</v>
      </c>
      <c r="B115" s="531"/>
      <c r="C115" s="528"/>
      <c r="D115" s="528"/>
      <c r="E115" s="528"/>
      <c r="F115" s="528"/>
      <c r="G115" s="528"/>
    </row>
    <row r="116" spans="1:7" ht="89.25" x14ac:dyDescent="0.25">
      <c r="A116" s="32" t="s">
        <v>235</v>
      </c>
      <c r="B116" s="33" t="s">
        <v>19</v>
      </c>
      <c r="C116" s="427" t="s">
        <v>443</v>
      </c>
      <c r="D116" s="46">
        <v>0.59</v>
      </c>
      <c r="E116" s="46">
        <v>0.56000000000000005</v>
      </c>
      <c r="F116" s="391">
        <f>E116/D116</f>
        <v>0.94915254237288149</v>
      </c>
      <c r="G116" s="389" t="s">
        <v>444</v>
      </c>
    </row>
    <row r="117" spans="1:7" ht="77.25" x14ac:dyDescent="0.25">
      <c r="A117" s="32"/>
      <c r="B117" s="429"/>
      <c r="C117" s="430" t="s">
        <v>445</v>
      </c>
      <c r="D117" s="431">
        <v>19925</v>
      </c>
      <c r="E117" s="431">
        <v>23375</v>
      </c>
      <c r="F117" s="432">
        <f>E117/D117</f>
        <v>1.1731493099121706</v>
      </c>
      <c r="G117" s="433" t="s">
        <v>446</v>
      </c>
    </row>
    <row r="118" spans="1:7" ht="25.5" x14ac:dyDescent="0.25">
      <c r="A118" s="35" t="s">
        <v>252</v>
      </c>
      <c r="B118" s="243" t="s">
        <v>236</v>
      </c>
      <c r="C118" s="428"/>
      <c r="D118" s="428"/>
      <c r="E118" s="428"/>
      <c r="F118" s="428"/>
      <c r="G118" s="428"/>
    </row>
    <row r="119" spans="1:7" ht="25.5" x14ac:dyDescent="0.25">
      <c r="A119" s="35" t="s">
        <v>253</v>
      </c>
      <c r="B119" s="243" t="s">
        <v>237</v>
      </c>
      <c r="C119" s="392"/>
      <c r="D119" s="46"/>
      <c r="E119" s="46"/>
      <c r="F119" s="46"/>
      <c r="G119" s="389"/>
    </row>
    <row r="120" spans="1:7" ht="51" x14ac:dyDescent="0.25">
      <c r="A120" s="35" t="s">
        <v>254</v>
      </c>
      <c r="B120" s="243" t="s">
        <v>238</v>
      </c>
      <c r="C120" s="392"/>
      <c r="D120" s="46"/>
      <c r="E120" s="46"/>
      <c r="F120" s="46"/>
      <c r="G120" s="389"/>
    </row>
    <row r="121" spans="1:7" ht="38.25" x14ac:dyDescent="0.25">
      <c r="A121" s="35" t="s">
        <v>255</v>
      </c>
      <c r="B121" s="243" t="s">
        <v>239</v>
      </c>
      <c r="C121" s="392"/>
      <c r="D121" s="46"/>
      <c r="E121" s="46"/>
      <c r="F121" s="46"/>
      <c r="G121" s="389"/>
    </row>
    <row r="122" spans="1:7" ht="89.25" x14ac:dyDescent="0.25">
      <c r="A122" s="35" t="s">
        <v>256</v>
      </c>
      <c r="B122" s="243" t="s">
        <v>240</v>
      </c>
      <c r="C122" s="392"/>
      <c r="D122" s="46"/>
      <c r="E122" s="46"/>
      <c r="F122" s="46"/>
      <c r="G122" s="389"/>
    </row>
    <row r="123" spans="1:7" ht="25.5" x14ac:dyDescent="0.25">
      <c r="A123" s="35" t="s">
        <v>257</v>
      </c>
      <c r="B123" s="243" t="s">
        <v>241</v>
      </c>
      <c r="C123" s="392"/>
      <c r="D123" s="46"/>
      <c r="E123" s="46"/>
      <c r="F123" s="46"/>
      <c r="G123" s="389"/>
    </row>
    <row r="124" spans="1:7" ht="114.75" x14ac:dyDescent="0.25">
      <c r="A124" s="35" t="s">
        <v>258</v>
      </c>
      <c r="B124" s="243" t="s">
        <v>275</v>
      </c>
      <c r="C124" s="392"/>
      <c r="D124" s="46"/>
      <c r="E124" s="46"/>
      <c r="F124" s="46"/>
      <c r="G124" s="389"/>
    </row>
    <row r="125" spans="1:7" ht="25.5" x14ac:dyDescent="0.25">
      <c r="A125" s="35" t="s">
        <v>259</v>
      </c>
      <c r="B125" s="243" t="s">
        <v>242</v>
      </c>
      <c r="C125" s="392"/>
      <c r="D125" s="46"/>
      <c r="E125" s="46"/>
      <c r="F125" s="46"/>
      <c r="G125" s="389"/>
    </row>
    <row r="126" spans="1:7" ht="191.25" x14ac:dyDescent="0.25">
      <c r="A126" s="35" t="s">
        <v>260</v>
      </c>
      <c r="B126" s="243" t="s">
        <v>276</v>
      </c>
      <c r="C126" s="392"/>
      <c r="D126" s="46"/>
      <c r="E126" s="46"/>
      <c r="F126" s="46"/>
      <c r="G126" s="389"/>
    </row>
    <row r="127" spans="1:7" x14ac:dyDescent="0.25">
      <c r="A127" s="37" t="s">
        <v>261</v>
      </c>
      <c r="B127" s="243" t="s">
        <v>243</v>
      </c>
      <c r="C127" s="392"/>
      <c r="D127" s="46"/>
      <c r="E127" s="46"/>
      <c r="F127" s="46"/>
      <c r="G127" s="389"/>
    </row>
    <row r="128" spans="1:7" ht="102" x14ac:dyDescent="0.25">
      <c r="A128" s="38" t="s">
        <v>262</v>
      </c>
      <c r="B128" s="33" t="s">
        <v>244</v>
      </c>
      <c r="C128" s="427" t="s">
        <v>447</v>
      </c>
      <c r="D128" s="46">
        <v>0.15</v>
      </c>
      <c r="E128" s="46">
        <v>0.14000000000000001</v>
      </c>
      <c r="F128" s="391"/>
      <c r="G128" s="29" t="s">
        <v>448</v>
      </c>
    </row>
    <row r="129" spans="1:7" ht="89.25" x14ac:dyDescent="0.25">
      <c r="A129" s="38" t="s">
        <v>263</v>
      </c>
      <c r="B129" s="33" t="s">
        <v>277</v>
      </c>
      <c r="C129" s="392"/>
      <c r="D129" s="382"/>
      <c r="E129" s="382"/>
      <c r="F129" s="382"/>
      <c r="G129" s="381"/>
    </row>
    <row r="130" spans="1:7" ht="114.75" x14ac:dyDescent="0.25">
      <c r="A130" s="37" t="s">
        <v>264</v>
      </c>
      <c r="B130" s="243" t="s">
        <v>278</v>
      </c>
      <c r="C130" s="392"/>
      <c r="D130" s="46"/>
      <c r="E130" s="46"/>
      <c r="F130" s="46"/>
      <c r="G130" s="389"/>
    </row>
    <row r="131" spans="1:7" ht="127.5" x14ac:dyDescent="0.25">
      <c r="A131" s="37" t="s">
        <v>265</v>
      </c>
      <c r="B131" s="243" t="s">
        <v>279</v>
      </c>
      <c r="C131" s="392"/>
      <c r="D131" s="46"/>
      <c r="E131" s="46"/>
      <c r="F131" s="46"/>
      <c r="G131" s="389"/>
    </row>
    <row r="132" spans="1:7" ht="25.5" x14ac:dyDescent="0.25">
      <c r="A132" s="37" t="s">
        <v>266</v>
      </c>
      <c r="B132" s="39" t="s">
        <v>245</v>
      </c>
      <c r="C132" s="392"/>
      <c r="D132" s="46"/>
      <c r="E132" s="46"/>
      <c r="F132" s="46"/>
      <c r="G132" s="389"/>
    </row>
    <row r="133" spans="1:7" ht="38.25" x14ac:dyDescent="0.25">
      <c r="A133" s="37" t="s">
        <v>267</v>
      </c>
      <c r="B133" s="243" t="s">
        <v>246</v>
      </c>
      <c r="C133" s="392"/>
      <c r="D133" s="46"/>
      <c r="E133" s="46"/>
      <c r="F133" s="46"/>
      <c r="G133" s="389"/>
    </row>
    <row r="134" spans="1:7" ht="51" x14ac:dyDescent="0.25">
      <c r="A134" s="38" t="s">
        <v>268</v>
      </c>
      <c r="B134" s="33" t="s">
        <v>247</v>
      </c>
      <c r="C134" s="434"/>
      <c r="D134" s="425"/>
      <c r="E134" s="425"/>
      <c r="F134" s="391"/>
      <c r="G134" s="243"/>
    </row>
    <row r="135" spans="1:7" ht="51" x14ac:dyDescent="0.25">
      <c r="A135" s="37" t="s">
        <v>269</v>
      </c>
      <c r="B135" s="243" t="s">
        <v>280</v>
      </c>
      <c r="C135" s="392"/>
      <c r="D135" s="46"/>
      <c r="E135" s="46"/>
      <c r="F135" s="46"/>
      <c r="G135" s="389"/>
    </row>
    <row r="136" spans="1:7" ht="89.25" x14ac:dyDescent="0.25">
      <c r="A136" s="38" t="s">
        <v>270</v>
      </c>
      <c r="B136" s="33" t="s">
        <v>248</v>
      </c>
      <c r="C136" s="434" t="s">
        <v>449</v>
      </c>
      <c r="D136" s="425">
        <v>2689</v>
      </c>
      <c r="E136" s="425">
        <v>3926</v>
      </c>
      <c r="F136" s="391">
        <f>E136/D136</f>
        <v>1.4600223131275567</v>
      </c>
      <c r="G136" s="243" t="s">
        <v>547</v>
      </c>
    </row>
    <row r="137" spans="1:7" ht="102" x14ac:dyDescent="0.25">
      <c r="A137" s="38"/>
      <c r="B137" s="33"/>
      <c r="C137" s="434" t="s">
        <v>450</v>
      </c>
      <c r="D137" s="425">
        <v>141</v>
      </c>
      <c r="E137" s="425">
        <v>85</v>
      </c>
      <c r="F137" s="391">
        <f>E137/D137</f>
        <v>0.6028368794326241</v>
      </c>
      <c r="G137" s="427" t="s">
        <v>451</v>
      </c>
    </row>
    <row r="138" spans="1:7" ht="76.5" x14ac:dyDescent="0.25">
      <c r="A138" s="38"/>
      <c r="B138" s="33"/>
      <c r="C138" s="434" t="s">
        <v>452</v>
      </c>
      <c r="D138" s="425">
        <v>4250</v>
      </c>
      <c r="E138" s="425">
        <v>7446</v>
      </c>
      <c r="F138" s="391">
        <f>E138/D138</f>
        <v>1.752</v>
      </c>
      <c r="G138" s="243" t="s">
        <v>453</v>
      </c>
    </row>
    <row r="139" spans="1:7" ht="89.25" x14ac:dyDescent="0.25">
      <c r="A139" s="38"/>
      <c r="B139" s="33"/>
      <c r="C139" s="434" t="s">
        <v>454</v>
      </c>
      <c r="D139" s="435" t="s">
        <v>206</v>
      </c>
      <c r="E139" s="435" t="s">
        <v>206</v>
      </c>
      <c r="F139" s="435" t="s">
        <v>206</v>
      </c>
      <c r="G139" s="243" t="s">
        <v>455</v>
      </c>
    </row>
    <row r="140" spans="1:7" ht="63.75" x14ac:dyDescent="0.25">
      <c r="A140" s="38"/>
      <c r="B140" s="33"/>
      <c r="C140" s="434" t="s">
        <v>456</v>
      </c>
      <c r="D140" s="436" t="s">
        <v>206</v>
      </c>
      <c r="E140" s="436" t="s">
        <v>206</v>
      </c>
      <c r="F140" s="436" t="s">
        <v>206</v>
      </c>
      <c r="G140" s="243" t="s">
        <v>457</v>
      </c>
    </row>
    <row r="141" spans="1:7" ht="102" x14ac:dyDescent="0.25">
      <c r="A141" s="38"/>
      <c r="B141" s="33"/>
      <c r="C141" s="430" t="s">
        <v>458</v>
      </c>
      <c r="D141" s="436" t="s">
        <v>206</v>
      </c>
      <c r="E141" s="436" t="s">
        <v>206</v>
      </c>
      <c r="F141" s="436" t="s">
        <v>206</v>
      </c>
      <c r="G141" s="243" t="s">
        <v>457</v>
      </c>
    </row>
    <row r="142" spans="1:7" ht="25.5" x14ac:dyDescent="0.25">
      <c r="A142" s="37" t="s">
        <v>271</v>
      </c>
      <c r="B142" s="243" t="s">
        <v>249</v>
      </c>
      <c r="C142" s="392"/>
      <c r="D142" s="46"/>
      <c r="E142" s="46"/>
      <c r="F142" s="46"/>
      <c r="G142" s="389"/>
    </row>
    <row r="143" spans="1:7" ht="25.5" x14ac:dyDescent="0.25">
      <c r="A143" s="37" t="s">
        <v>272</v>
      </c>
      <c r="B143" s="243" t="s">
        <v>250</v>
      </c>
      <c r="C143" s="392"/>
      <c r="D143" s="46"/>
      <c r="E143" s="46"/>
      <c r="F143" s="46"/>
      <c r="G143" s="389"/>
    </row>
    <row r="144" spans="1:7" ht="76.5" x14ac:dyDescent="0.25">
      <c r="A144" s="37" t="s">
        <v>273</v>
      </c>
      <c r="B144" s="243" t="s">
        <v>251</v>
      </c>
      <c r="C144" s="434"/>
      <c r="D144" s="425"/>
      <c r="E144" s="425"/>
      <c r="F144" s="391"/>
      <c r="G144" s="243"/>
    </row>
    <row r="145" spans="1:7" ht="114.75" x14ac:dyDescent="0.25">
      <c r="A145" s="37" t="s">
        <v>274</v>
      </c>
      <c r="B145" s="243" t="s">
        <v>315</v>
      </c>
      <c r="C145" s="434"/>
      <c r="D145" s="46">
        <v>2668</v>
      </c>
      <c r="E145" s="46">
        <v>3018</v>
      </c>
      <c r="F145" s="46">
        <v>1.33</v>
      </c>
      <c r="G145" s="243"/>
    </row>
    <row r="146" spans="1:7" x14ac:dyDescent="0.25">
      <c r="A146" s="25"/>
      <c r="B146" s="384" t="s">
        <v>10</v>
      </c>
      <c r="C146" s="381"/>
      <c r="D146" s="382"/>
      <c r="E146" s="382"/>
      <c r="F146" s="382"/>
      <c r="G146" s="381"/>
    </row>
    <row r="147" spans="1:7" x14ac:dyDescent="0.25">
      <c r="A147" s="532" t="s">
        <v>20</v>
      </c>
      <c r="B147" s="533"/>
      <c r="C147" s="534"/>
      <c r="D147" s="534"/>
      <c r="E147" s="534"/>
      <c r="F147" s="534"/>
      <c r="G147" s="535"/>
    </row>
    <row r="148" spans="1:7" ht="127.5" x14ac:dyDescent="0.25">
      <c r="A148" s="40" t="s">
        <v>42</v>
      </c>
      <c r="B148" s="390" t="s">
        <v>208</v>
      </c>
      <c r="C148" s="243" t="s">
        <v>459</v>
      </c>
      <c r="D148" s="426">
        <v>12.5</v>
      </c>
      <c r="E148" s="426">
        <v>45.7</v>
      </c>
      <c r="F148" s="391">
        <f>E148/D148</f>
        <v>3.6560000000000001</v>
      </c>
      <c r="G148" s="426" t="s">
        <v>432</v>
      </c>
    </row>
    <row r="149" spans="1:7" ht="114.75" x14ac:dyDescent="0.25">
      <c r="A149" s="40"/>
      <c r="B149" s="390"/>
      <c r="C149" s="243" t="s">
        <v>460</v>
      </c>
      <c r="D149" s="426"/>
      <c r="E149" s="426"/>
      <c r="F149" s="391"/>
      <c r="G149" s="426"/>
    </row>
    <row r="150" spans="1:7" ht="89.25" x14ac:dyDescent="0.25">
      <c r="A150" s="40"/>
      <c r="B150" s="390"/>
      <c r="C150" s="243" t="s">
        <v>461</v>
      </c>
      <c r="D150" s="437">
        <v>3.7499999999999999E-2</v>
      </c>
      <c r="E150" s="437">
        <v>8.8499999999999995E-2</v>
      </c>
      <c r="F150" s="391">
        <f>E150/D150</f>
        <v>2.36</v>
      </c>
      <c r="G150" s="426" t="s">
        <v>462</v>
      </c>
    </row>
    <row r="151" spans="1:7" ht="51" x14ac:dyDescent="0.25">
      <c r="A151" s="40" t="s">
        <v>209</v>
      </c>
      <c r="B151" s="390" t="s">
        <v>210</v>
      </c>
      <c r="C151" s="48"/>
      <c r="D151" s="46"/>
      <c r="E151" s="46"/>
      <c r="F151" s="46"/>
      <c r="G151" s="389"/>
    </row>
    <row r="152" spans="1:7" x14ac:dyDescent="0.25">
      <c r="A152" s="25"/>
      <c r="B152" s="384" t="s">
        <v>10</v>
      </c>
      <c r="C152" s="387"/>
      <c r="D152" s="388"/>
      <c r="E152" s="388"/>
      <c r="F152" s="388"/>
      <c r="G152" s="387"/>
    </row>
    <row r="153" spans="1:7" x14ac:dyDescent="0.25">
      <c r="A153" s="532" t="s">
        <v>287</v>
      </c>
      <c r="B153" s="533"/>
      <c r="C153" s="533"/>
      <c r="D153" s="533"/>
      <c r="E153" s="533"/>
      <c r="F153" s="533"/>
      <c r="G153" s="536"/>
    </row>
    <row r="154" spans="1:7" ht="63.75" x14ac:dyDescent="0.25">
      <c r="A154" s="280" t="s">
        <v>281</v>
      </c>
      <c r="B154" s="471" t="s">
        <v>282</v>
      </c>
      <c r="C154" s="293" t="s">
        <v>339</v>
      </c>
      <c r="D154" s="472">
        <v>25</v>
      </c>
      <c r="E154" s="473">
        <v>95</v>
      </c>
      <c r="F154" s="472"/>
      <c r="G154" s="293" t="s">
        <v>595</v>
      </c>
    </row>
    <row r="155" spans="1:7" ht="191.25" x14ac:dyDescent="0.25">
      <c r="A155" s="280" t="s">
        <v>283</v>
      </c>
      <c r="B155" s="281" t="s">
        <v>284</v>
      </c>
      <c r="C155" s="48" t="s">
        <v>340</v>
      </c>
      <c r="D155" s="382">
        <v>4</v>
      </c>
      <c r="E155" s="344">
        <v>4</v>
      </c>
      <c r="F155" s="382"/>
      <c r="G155" s="386" t="s">
        <v>543</v>
      </c>
    </row>
    <row r="156" spans="1:7" ht="159" customHeight="1" x14ac:dyDescent="0.25">
      <c r="A156" s="280" t="s">
        <v>285</v>
      </c>
      <c r="B156" s="281" t="s">
        <v>286</v>
      </c>
      <c r="C156" s="381"/>
      <c r="D156" s="382"/>
      <c r="E156" s="382"/>
      <c r="F156" s="382"/>
      <c r="G156" s="389" t="str">
        <f>'план-график'!$K$168</f>
        <v>ОГКОУ Детский дом "Соловьиная роща" на ремонт межпанельных швов и замену оконных блоков израсходовано 250,0 тыс. руб.,  и ОГКОУ Ульяновский детский дом "Гнёздышко" на сумму 120,0 тыс.рублей -установлены энергосберегающие светильники, и пластиковые окна, , ОГКУСО «Социально-реабилитационный центр для несовершеннолетних «Причал надежды» в г. Ульяновске»произведена замена окон на пластиковые в общей сумме 1,0 млн. руб.</v>
      </c>
    </row>
    <row r="157" spans="1:7" x14ac:dyDescent="0.25">
      <c r="A157" s="25"/>
      <c r="B157" s="384" t="s">
        <v>10</v>
      </c>
      <c r="C157" s="381"/>
      <c r="D157" s="382"/>
      <c r="E157" s="382"/>
      <c r="F157" s="382"/>
      <c r="G157" s="381"/>
    </row>
    <row r="158" spans="1:7" x14ac:dyDescent="0.25">
      <c r="A158" s="385"/>
      <c r="B158" s="384" t="s">
        <v>11</v>
      </c>
      <c r="C158" s="383"/>
      <c r="D158" s="382"/>
      <c r="E158" s="382"/>
      <c r="F158" s="382"/>
      <c r="G158" s="381"/>
    </row>
    <row r="160" spans="1:7" ht="15.75" x14ac:dyDescent="0.25">
      <c r="A160" s="523"/>
      <c r="B160" s="523"/>
      <c r="C160" s="523"/>
      <c r="D160" s="523"/>
      <c r="E160" s="523"/>
      <c r="F160" s="523"/>
      <c r="G160" s="523"/>
    </row>
  </sheetData>
  <mergeCells count="12">
    <mergeCell ref="A160:G160"/>
    <mergeCell ref="A2:G2"/>
    <mergeCell ref="A3:G3"/>
    <mergeCell ref="A7:G7"/>
    <mergeCell ref="A59:G59"/>
    <mergeCell ref="C61:C68"/>
    <mergeCell ref="A89:G89"/>
    <mergeCell ref="A115:G115"/>
    <mergeCell ref="A147:G147"/>
    <mergeCell ref="A153:G153"/>
    <mergeCell ref="C69:C85"/>
    <mergeCell ref="C86:C87"/>
  </mergeCells>
  <pageMargins left="0.7" right="0.7" top="0.75" bottom="0.75" header="0.3" footer="0.3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view="pageBreakPreview" zoomScale="90" zoomScaleNormal="100" zoomScaleSheetLayoutView="90" workbookViewId="0">
      <selection activeCell="H84" sqref="H84"/>
    </sheetView>
  </sheetViews>
  <sheetFormatPr defaultRowHeight="15" x14ac:dyDescent="0.25"/>
  <cols>
    <col min="2" max="2" width="38.85546875" customWidth="1"/>
    <col min="3" max="3" width="13.42578125" customWidth="1"/>
    <col min="5" max="5" width="8.85546875" customWidth="1"/>
    <col min="6" max="6" width="7.7109375" customWidth="1"/>
    <col min="7" max="7" width="6.28515625" customWidth="1"/>
    <col min="8" max="8" width="17.5703125" customWidth="1"/>
    <col min="9" max="9" width="17" customWidth="1"/>
    <col min="10" max="10" width="30" customWidth="1"/>
    <col min="11" max="11" width="34.42578125" style="488" customWidth="1"/>
    <col min="12" max="12" width="20.85546875" customWidth="1"/>
    <col min="13" max="13" width="18.140625" customWidth="1"/>
  </cols>
  <sheetData>
    <row r="1" spans="1:13" ht="20.25" x14ac:dyDescent="0.25">
      <c r="A1" s="546" t="s">
        <v>398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4"/>
      <c r="M1" s="4"/>
    </row>
    <row r="2" spans="1:13" ht="37.5" customHeight="1" x14ac:dyDescent="0.25">
      <c r="A2" s="507"/>
      <c r="B2" s="507" t="s">
        <v>21</v>
      </c>
      <c r="C2" s="507" t="s">
        <v>22</v>
      </c>
      <c r="D2" s="515" t="s">
        <v>23</v>
      </c>
      <c r="E2" s="517"/>
      <c r="F2" s="515" t="s">
        <v>24</v>
      </c>
      <c r="G2" s="517"/>
      <c r="H2" s="515" t="s">
        <v>299</v>
      </c>
      <c r="I2" s="517"/>
      <c r="J2" s="515" t="s">
        <v>25</v>
      </c>
      <c r="K2" s="517"/>
      <c r="L2" s="234" t="s">
        <v>316</v>
      </c>
      <c r="M2" s="235"/>
    </row>
    <row r="3" spans="1:13" ht="23.25" customHeight="1" x14ac:dyDescent="0.25">
      <c r="A3" s="508"/>
      <c r="B3" s="508"/>
      <c r="C3" s="508"/>
      <c r="D3" s="483" t="s">
        <v>26</v>
      </c>
      <c r="E3" s="483" t="s">
        <v>27</v>
      </c>
      <c r="F3" s="483" t="s">
        <v>26</v>
      </c>
      <c r="G3" s="483" t="s">
        <v>27</v>
      </c>
      <c r="H3" s="483" t="s">
        <v>28</v>
      </c>
      <c r="I3" s="483" t="s">
        <v>29</v>
      </c>
      <c r="J3" s="483" t="s">
        <v>30</v>
      </c>
      <c r="K3" s="291" t="s">
        <v>31</v>
      </c>
      <c r="L3" s="234"/>
      <c r="M3" s="235"/>
    </row>
    <row r="4" spans="1:13" x14ac:dyDescent="0.25">
      <c r="A4" s="481">
        <v>1</v>
      </c>
      <c r="B4" s="483">
        <v>2</v>
      </c>
      <c r="C4" s="480">
        <v>3</v>
      </c>
      <c r="D4" s="483">
        <v>4</v>
      </c>
      <c r="E4" s="483">
        <v>5</v>
      </c>
      <c r="F4" s="483">
        <v>6</v>
      </c>
      <c r="G4" s="483">
        <v>7</v>
      </c>
      <c r="H4" s="483">
        <v>8</v>
      </c>
      <c r="I4" s="483">
        <v>9</v>
      </c>
      <c r="J4" s="483">
        <v>10</v>
      </c>
      <c r="K4" s="291">
        <v>11</v>
      </c>
      <c r="L4" s="234">
        <v>12</v>
      </c>
      <c r="M4" s="235"/>
    </row>
    <row r="5" spans="1:13" ht="25.5" x14ac:dyDescent="0.25">
      <c r="A5" s="289">
        <v>1</v>
      </c>
      <c r="B5" s="290" t="s">
        <v>9</v>
      </c>
      <c r="C5" s="547" t="s">
        <v>324</v>
      </c>
      <c r="D5" s="291"/>
      <c r="E5" s="291"/>
      <c r="F5" s="291"/>
      <c r="G5" s="291"/>
      <c r="H5" s="292">
        <f>H6+H7+H8+H11+H12+H53+H55+H54</f>
        <v>3462463.8000000003</v>
      </c>
      <c r="I5" s="292">
        <f>I6+I7+I8+I11+I12+I53+I55+I54</f>
        <v>3377094.4764899998</v>
      </c>
      <c r="J5" s="293"/>
      <c r="K5" s="293"/>
      <c r="L5" s="294"/>
      <c r="M5" s="345">
        <f>I5/H5</f>
        <v>0.97534434193651343</v>
      </c>
    </row>
    <row r="6" spans="1:13" ht="140.25" x14ac:dyDescent="0.25">
      <c r="A6" s="236" t="s">
        <v>32</v>
      </c>
      <c r="B6" s="237" t="s">
        <v>43</v>
      </c>
      <c r="C6" s="548"/>
      <c r="D6" s="483" t="s">
        <v>385</v>
      </c>
      <c r="E6" s="483" t="s">
        <v>386</v>
      </c>
      <c r="F6" s="483"/>
      <c r="G6" s="483"/>
      <c r="H6" s="238">
        <f>2*88741.5</f>
        <v>177483</v>
      </c>
      <c r="I6" s="20">
        <f>финансир!M9</f>
        <v>205952.08356999999</v>
      </c>
      <c r="J6" s="331" t="s">
        <v>511</v>
      </c>
      <c r="K6" s="243" t="s">
        <v>512</v>
      </c>
      <c r="L6" s="233"/>
      <c r="M6" s="345">
        <f>I6/H6</f>
        <v>1.1604045659020863</v>
      </c>
    </row>
    <row r="7" spans="1:13" ht="140.25" x14ac:dyDescent="0.25">
      <c r="A7" s="236" t="s">
        <v>33</v>
      </c>
      <c r="B7" s="237" t="s">
        <v>44</v>
      </c>
      <c r="C7" s="548"/>
      <c r="D7" s="483" t="s">
        <v>385</v>
      </c>
      <c r="E7" s="483" t="s">
        <v>386</v>
      </c>
      <c r="F7" s="483"/>
      <c r="G7" s="483"/>
      <c r="H7" s="238">
        <f>2*34490.3</f>
        <v>68980.600000000006</v>
      </c>
      <c r="I7" s="20">
        <f>финансир!M10</f>
        <v>64667.002</v>
      </c>
      <c r="J7" s="331" t="s">
        <v>513</v>
      </c>
      <c r="K7" s="243" t="s">
        <v>514</v>
      </c>
      <c r="L7" s="233"/>
      <c r="M7" s="345">
        <f t="shared" ref="M7:M55" si="0">I7/H7</f>
        <v>0.93746650507533991</v>
      </c>
    </row>
    <row r="8" spans="1:13" ht="38.25" x14ac:dyDescent="0.25">
      <c r="A8" s="240" t="s">
        <v>34</v>
      </c>
      <c r="B8" s="241" t="s">
        <v>45</v>
      </c>
      <c r="C8" s="548"/>
      <c r="D8" s="233"/>
      <c r="E8" s="233"/>
      <c r="F8" s="233"/>
      <c r="G8" s="233"/>
      <c r="H8" s="242">
        <f>H9+H10</f>
        <v>31950</v>
      </c>
      <c r="I8" s="242">
        <f>I9+I10</f>
        <v>41727.447</v>
      </c>
      <c r="J8" s="332"/>
      <c r="K8" s="244"/>
      <c r="L8" s="317"/>
      <c r="M8" s="345">
        <f t="shared" si="0"/>
        <v>1.3060233802816901</v>
      </c>
    </row>
    <row r="9" spans="1:13" ht="89.25" x14ac:dyDescent="0.25">
      <c r="A9" s="236" t="s">
        <v>95</v>
      </c>
      <c r="B9" s="237" t="s">
        <v>46</v>
      </c>
      <c r="C9" s="548"/>
      <c r="D9" s="483" t="s">
        <v>385</v>
      </c>
      <c r="E9" s="483" t="s">
        <v>386</v>
      </c>
      <c r="F9" s="39"/>
      <c r="G9" s="39"/>
      <c r="H9" s="238">
        <v>800</v>
      </c>
      <c r="I9" s="20">
        <f>финансир!M12</f>
        <v>1295.923</v>
      </c>
      <c r="J9" s="331" t="s">
        <v>401</v>
      </c>
      <c r="K9" s="476" t="s">
        <v>584</v>
      </c>
      <c r="L9" s="328"/>
      <c r="M9" s="345">
        <f t="shared" si="0"/>
        <v>1.61990375</v>
      </c>
    </row>
    <row r="10" spans="1:13" ht="127.5" x14ac:dyDescent="0.25">
      <c r="A10" s="236" t="s">
        <v>96</v>
      </c>
      <c r="B10" s="237" t="s">
        <v>148</v>
      </c>
      <c r="C10" s="548"/>
      <c r="D10" s="483" t="s">
        <v>385</v>
      </c>
      <c r="E10" s="483" t="s">
        <v>386</v>
      </c>
      <c r="F10" s="483"/>
      <c r="G10" s="483"/>
      <c r="H10" s="238">
        <f>2*15575</f>
        <v>31150</v>
      </c>
      <c r="I10" s="20">
        <f>финансир!M13</f>
        <v>40431.523999999998</v>
      </c>
      <c r="J10" s="331" t="s">
        <v>400</v>
      </c>
      <c r="K10" s="477" t="s">
        <v>585</v>
      </c>
      <c r="L10" s="233"/>
      <c r="M10" s="345">
        <f t="shared" si="0"/>
        <v>1.2979622471910111</v>
      </c>
    </row>
    <row r="11" spans="1:13" ht="244.5" customHeight="1" x14ac:dyDescent="0.25">
      <c r="A11" s="236" t="s">
        <v>35</v>
      </c>
      <c r="B11" s="237" t="s">
        <v>149</v>
      </c>
      <c r="C11" s="548"/>
      <c r="D11" s="483" t="s">
        <v>385</v>
      </c>
      <c r="E11" s="483" t="s">
        <v>386</v>
      </c>
      <c r="F11" s="233"/>
      <c r="G11" s="233"/>
      <c r="H11" s="238">
        <f>3208+7057</f>
        <v>10265</v>
      </c>
      <c r="I11" s="20">
        <f>финансир!M14</f>
        <v>11078.909</v>
      </c>
      <c r="J11" s="331" t="s">
        <v>399</v>
      </c>
      <c r="K11" s="469" t="s">
        <v>540</v>
      </c>
      <c r="L11" s="470"/>
      <c r="M11" s="345">
        <f t="shared" si="0"/>
        <v>1.0792897223575255</v>
      </c>
    </row>
    <row r="12" spans="1:13" ht="25.5" x14ac:dyDescent="0.25">
      <c r="A12" s="240" t="s">
        <v>36</v>
      </c>
      <c r="B12" s="241" t="s">
        <v>37</v>
      </c>
      <c r="C12" s="548"/>
      <c r="D12" s="483"/>
      <c r="E12" s="483"/>
      <c r="F12" s="483"/>
      <c r="G12" s="483"/>
      <c r="H12" s="242">
        <f>SUM(H13:H52)</f>
        <v>2668589.2000000002</v>
      </c>
      <c r="I12" s="242">
        <f>SUM(I13:I52)</f>
        <v>2688196.23496</v>
      </c>
      <c r="J12" s="332"/>
      <c r="K12" s="243"/>
      <c r="L12" s="233"/>
      <c r="M12" s="345">
        <f t="shared" si="0"/>
        <v>1.007347341044474</v>
      </c>
    </row>
    <row r="13" spans="1:13" ht="153" x14ac:dyDescent="0.25">
      <c r="A13" s="236" t="s">
        <v>97</v>
      </c>
      <c r="B13" s="237" t="s">
        <v>47</v>
      </c>
      <c r="C13" s="548"/>
      <c r="D13" s="483" t="s">
        <v>385</v>
      </c>
      <c r="E13" s="483" t="s">
        <v>386</v>
      </c>
      <c r="F13" s="233"/>
      <c r="G13" s="233"/>
      <c r="H13" s="238">
        <f>2*397329</f>
        <v>794658</v>
      </c>
      <c r="I13" s="20">
        <f>финансир!M16</f>
        <v>859306.18209000002</v>
      </c>
      <c r="J13" s="331" t="s">
        <v>357</v>
      </c>
      <c r="K13" s="467" t="s">
        <v>550</v>
      </c>
      <c r="L13" s="233"/>
      <c r="M13" s="345">
        <f t="shared" si="0"/>
        <v>1.0813534653775587</v>
      </c>
    </row>
    <row r="14" spans="1:13" ht="76.5" x14ac:dyDescent="0.25">
      <c r="A14" s="236" t="s">
        <v>98</v>
      </c>
      <c r="B14" s="237" t="s">
        <v>48</v>
      </c>
      <c r="C14" s="548"/>
      <c r="D14" s="483" t="s">
        <v>385</v>
      </c>
      <c r="E14" s="483" t="s">
        <v>386</v>
      </c>
      <c r="F14" s="233"/>
      <c r="G14" s="233"/>
      <c r="H14" s="238">
        <f>2*875</f>
        <v>1750</v>
      </c>
      <c r="I14" s="20">
        <f>финансир!M17</f>
        <v>1504.51118</v>
      </c>
      <c r="J14" s="331" t="s">
        <v>358</v>
      </c>
      <c r="K14" s="467" t="s">
        <v>551</v>
      </c>
      <c r="L14" s="233"/>
      <c r="M14" s="345">
        <f t="shared" si="0"/>
        <v>0.8597206742857143</v>
      </c>
    </row>
    <row r="15" spans="1:13" ht="191.25" x14ac:dyDescent="0.25">
      <c r="A15" s="236" t="s">
        <v>99</v>
      </c>
      <c r="B15" s="237" t="s">
        <v>49</v>
      </c>
      <c r="C15" s="548"/>
      <c r="D15" s="483" t="s">
        <v>385</v>
      </c>
      <c r="E15" s="483" t="s">
        <v>386</v>
      </c>
      <c r="F15" s="233"/>
      <c r="G15" s="233"/>
      <c r="H15" s="238">
        <f>2*8469</f>
        <v>16938</v>
      </c>
      <c r="I15" s="20">
        <f>финансир!M18</f>
        <v>17795.09</v>
      </c>
      <c r="J15" s="331" t="s">
        <v>359</v>
      </c>
      <c r="K15" s="467" t="s">
        <v>552</v>
      </c>
      <c r="L15" s="233"/>
      <c r="M15" s="345">
        <f t="shared" si="0"/>
        <v>1.0506016058566536</v>
      </c>
    </row>
    <row r="16" spans="1:13" ht="178.5" x14ac:dyDescent="0.25">
      <c r="A16" s="236" t="s">
        <v>100</v>
      </c>
      <c r="B16" s="237" t="s">
        <v>150</v>
      </c>
      <c r="C16" s="548"/>
      <c r="D16" s="483" t="s">
        <v>385</v>
      </c>
      <c r="E16" s="483" t="s">
        <v>386</v>
      </c>
      <c r="F16" s="233"/>
      <c r="G16" s="233"/>
      <c r="H16" s="238">
        <f>2*402449</f>
        <v>804898</v>
      </c>
      <c r="I16" s="20">
        <f>финансир!M19</f>
        <v>849876.01599999995</v>
      </c>
      <c r="J16" s="331" t="s">
        <v>360</v>
      </c>
      <c r="K16" s="467" t="s">
        <v>553</v>
      </c>
      <c r="L16" s="233"/>
      <c r="M16" s="345">
        <f t="shared" si="0"/>
        <v>1.0558803922981546</v>
      </c>
    </row>
    <row r="17" spans="1:13" ht="165.75" x14ac:dyDescent="0.25">
      <c r="A17" s="236" t="s">
        <v>101</v>
      </c>
      <c r="B17" s="237" t="s">
        <v>50</v>
      </c>
      <c r="C17" s="548"/>
      <c r="D17" s="483" t="s">
        <v>385</v>
      </c>
      <c r="E17" s="483" t="s">
        <v>386</v>
      </c>
      <c r="F17" s="233"/>
      <c r="G17" s="233"/>
      <c r="H17" s="238">
        <f>4791.2+6743.3</f>
        <v>11534.5</v>
      </c>
      <c r="I17" s="20">
        <f>финансир!M20</f>
        <v>10949.5779</v>
      </c>
      <c r="J17" s="331" t="s">
        <v>361</v>
      </c>
      <c r="K17" s="466" t="s">
        <v>534</v>
      </c>
      <c r="L17" s="233"/>
      <c r="M17" s="345">
        <f t="shared" si="0"/>
        <v>0.94928934067363135</v>
      </c>
    </row>
    <row r="18" spans="1:13" ht="165.75" x14ac:dyDescent="0.25">
      <c r="A18" s="236" t="s">
        <v>102</v>
      </c>
      <c r="B18" s="237" t="s">
        <v>51</v>
      </c>
      <c r="C18" s="548"/>
      <c r="D18" s="483" t="s">
        <v>385</v>
      </c>
      <c r="E18" s="483" t="s">
        <v>386</v>
      </c>
      <c r="F18" s="233"/>
      <c r="G18" s="233"/>
      <c r="H18" s="238">
        <f>35100+33750</f>
        <v>68850</v>
      </c>
      <c r="I18" s="20">
        <f>финансир!M21</f>
        <v>66363.273000000001</v>
      </c>
      <c r="J18" s="331" t="s">
        <v>528</v>
      </c>
      <c r="K18" s="466" t="s">
        <v>533</v>
      </c>
      <c r="L18" s="233"/>
      <c r="M18" s="345">
        <f t="shared" si="0"/>
        <v>0.96388196078431376</v>
      </c>
    </row>
    <row r="19" spans="1:13" ht="76.5" x14ac:dyDescent="0.25">
      <c r="A19" s="236" t="s">
        <v>103</v>
      </c>
      <c r="B19" s="237" t="s">
        <v>52</v>
      </c>
      <c r="C19" s="548"/>
      <c r="D19" s="483" t="s">
        <v>385</v>
      </c>
      <c r="E19" s="483" t="s">
        <v>386</v>
      </c>
      <c r="F19" s="233"/>
      <c r="G19" s="233"/>
      <c r="H19" s="238">
        <f>2*2280</f>
        <v>4560</v>
      </c>
      <c r="I19" s="20">
        <f>финансир!M22</f>
        <v>4435.1949999999997</v>
      </c>
      <c r="J19" s="331" t="s">
        <v>341</v>
      </c>
      <c r="K19" s="467" t="s">
        <v>554</v>
      </c>
      <c r="L19" s="331"/>
      <c r="M19" s="345">
        <f t="shared" si="0"/>
        <v>0.97263048245614026</v>
      </c>
    </row>
    <row r="20" spans="1:13" ht="191.25" x14ac:dyDescent="0.25">
      <c r="A20" s="236" t="s">
        <v>104</v>
      </c>
      <c r="B20" s="237" t="s">
        <v>53</v>
      </c>
      <c r="C20" s="548"/>
      <c r="D20" s="483" t="s">
        <v>385</v>
      </c>
      <c r="E20" s="483" t="s">
        <v>386</v>
      </c>
      <c r="F20" s="233"/>
      <c r="G20" s="233"/>
      <c r="H20" s="238">
        <f>97+97.1</f>
        <v>194.1</v>
      </c>
      <c r="I20" s="20">
        <f>финансир!M23</f>
        <v>0</v>
      </c>
      <c r="J20" s="331" t="s">
        <v>342</v>
      </c>
      <c r="K20" s="467" t="s">
        <v>535</v>
      </c>
      <c r="L20" s="233"/>
      <c r="M20" s="345">
        <f t="shared" si="0"/>
        <v>0</v>
      </c>
    </row>
    <row r="21" spans="1:13" ht="165.75" x14ac:dyDescent="0.25">
      <c r="A21" s="236" t="s">
        <v>105</v>
      </c>
      <c r="B21" s="237" t="s">
        <v>54</v>
      </c>
      <c r="C21" s="548"/>
      <c r="D21" s="483" t="s">
        <v>385</v>
      </c>
      <c r="E21" s="483" t="s">
        <v>386</v>
      </c>
      <c r="F21" s="233"/>
      <c r="G21" s="233"/>
      <c r="H21" s="238">
        <f>2*78636.4</f>
        <v>157272.79999999999</v>
      </c>
      <c r="I21" s="20">
        <f>финансир!M24</f>
        <v>205600.90700000001</v>
      </c>
      <c r="J21" s="331" t="s">
        <v>362</v>
      </c>
      <c r="K21" s="465" t="s">
        <v>531</v>
      </c>
      <c r="L21" s="233"/>
      <c r="M21" s="345">
        <f t="shared" si="0"/>
        <v>1.3072883995198155</v>
      </c>
    </row>
    <row r="22" spans="1:13" ht="89.25" x14ac:dyDescent="0.25">
      <c r="A22" s="236" t="s">
        <v>106</v>
      </c>
      <c r="B22" s="237" t="s">
        <v>55</v>
      </c>
      <c r="C22" s="548"/>
      <c r="D22" s="483" t="s">
        <v>385</v>
      </c>
      <c r="E22" s="483" t="s">
        <v>386</v>
      </c>
      <c r="F22" s="233"/>
      <c r="G22" s="233"/>
      <c r="H22" s="238">
        <v>1377</v>
      </c>
      <c r="I22" s="20">
        <f>финансир!M25</f>
        <v>834.71289000000002</v>
      </c>
      <c r="J22" s="332" t="s">
        <v>402</v>
      </c>
      <c r="K22" s="468" t="s">
        <v>555</v>
      </c>
      <c r="L22" s="233"/>
      <c r="M22" s="345">
        <f t="shared" si="0"/>
        <v>0.6061822004357299</v>
      </c>
    </row>
    <row r="23" spans="1:13" ht="63.75" x14ac:dyDescent="0.25">
      <c r="A23" s="236" t="s">
        <v>107</v>
      </c>
      <c r="B23" s="237" t="s">
        <v>56</v>
      </c>
      <c r="C23" s="548"/>
      <c r="D23" s="483" t="s">
        <v>385</v>
      </c>
      <c r="E23" s="483" t="s">
        <v>386</v>
      </c>
      <c r="F23" s="233"/>
      <c r="G23" s="233"/>
      <c r="H23" s="238">
        <f>46.2+46.2</f>
        <v>92.4</v>
      </c>
      <c r="I23" s="20">
        <f>финансир!M26</f>
        <v>0</v>
      </c>
      <c r="J23" s="331" t="s">
        <v>363</v>
      </c>
      <c r="K23" s="243"/>
      <c r="L23" s="233"/>
      <c r="M23" s="345">
        <f t="shared" si="0"/>
        <v>0</v>
      </c>
    </row>
    <row r="24" spans="1:13" ht="76.5" x14ac:dyDescent="0.25">
      <c r="A24" s="236" t="s">
        <v>108</v>
      </c>
      <c r="B24" s="237" t="s">
        <v>57</v>
      </c>
      <c r="C24" s="548"/>
      <c r="D24" s="483" t="s">
        <v>385</v>
      </c>
      <c r="E24" s="483" t="s">
        <v>386</v>
      </c>
      <c r="F24" s="233"/>
      <c r="G24" s="233"/>
      <c r="H24" s="238">
        <f>2*148</f>
        <v>296</v>
      </c>
      <c r="I24" s="20">
        <f>финансир!M27</f>
        <v>320.92106000000001</v>
      </c>
      <c r="J24" s="331" t="s">
        <v>343</v>
      </c>
      <c r="K24" s="467" t="s">
        <v>556</v>
      </c>
      <c r="L24" s="233"/>
      <c r="M24" s="345">
        <f t="shared" si="0"/>
        <v>1.0841927702702703</v>
      </c>
    </row>
    <row r="25" spans="1:13" ht="183.75" customHeight="1" x14ac:dyDescent="0.25">
      <c r="A25" s="236" t="s">
        <v>109</v>
      </c>
      <c r="B25" s="237" t="s">
        <v>151</v>
      </c>
      <c r="C25" s="548"/>
      <c r="D25" s="483" t="s">
        <v>385</v>
      </c>
      <c r="E25" s="483" t="s">
        <v>386</v>
      </c>
      <c r="F25" s="233"/>
      <c r="G25" s="233"/>
      <c r="H25" s="238">
        <f>2*696.3</f>
        <v>1392.6</v>
      </c>
      <c r="I25" s="20">
        <f>финансир!M28</f>
        <v>1530.048</v>
      </c>
      <c r="J25" s="331" t="s">
        <v>344</v>
      </c>
      <c r="K25" s="467" t="s">
        <v>557</v>
      </c>
      <c r="L25" s="233"/>
      <c r="M25" s="345">
        <f t="shared" si="0"/>
        <v>1.0986988367083155</v>
      </c>
    </row>
    <row r="26" spans="1:13" ht="51" x14ac:dyDescent="0.25">
      <c r="A26" s="236" t="s">
        <v>110</v>
      </c>
      <c r="B26" s="237" t="s">
        <v>58</v>
      </c>
      <c r="C26" s="548"/>
      <c r="D26" s="483" t="s">
        <v>386</v>
      </c>
      <c r="E26" s="483" t="s">
        <v>386</v>
      </c>
      <c r="F26" s="244"/>
      <c r="G26" s="244"/>
      <c r="H26" s="238">
        <v>0</v>
      </c>
      <c r="I26" s="20">
        <f>финансир!M29</f>
        <v>0</v>
      </c>
      <c r="J26" s="331"/>
      <c r="K26" s="243"/>
      <c r="L26" s="233"/>
      <c r="M26" s="345" t="e">
        <f t="shared" si="0"/>
        <v>#DIV/0!</v>
      </c>
    </row>
    <row r="27" spans="1:13" ht="89.25" x14ac:dyDescent="0.25">
      <c r="A27" s="236" t="s">
        <v>111</v>
      </c>
      <c r="B27" s="237" t="s">
        <v>59</v>
      </c>
      <c r="C27" s="549"/>
      <c r="D27" s="233"/>
      <c r="E27" s="233"/>
      <c r="F27" s="233"/>
      <c r="G27" s="233"/>
      <c r="H27" s="238">
        <f>2*666.4</f>
        <v>1332.8</v>
      </c>
      <c r="I27" s="20">
        <f>финансир!M30</f>
        <v>1361.9490000000001</v>
      </c>
      <c r="J27" s="331" t="s">
        <v>345</v>
      </c>
      <c r="K27" s="467" t="s">
        <v>558</v>
      </c>
      <c r="L27" s="233"/>
      <c r="M27" s="345">
        <f t="shared" si="0"/>
        <v>1.0218704981992799</v>
      </c>
    </row>
    <row r="28" spans="1:13" ht="280.5" x14ac:dyDescent="0.25">
      <c r="A28" s="550" t="s">
        <v>112</v>
      </c>
      <c r="B28" s="550" t="s">
        <v>12</v>
      </c>
      <c r="C28" s="483" t="s">
        <v>589</v>
      </c>
      <c r="D28" s="483" t="s">
        <v>385</v>
      </c>
      <c r="E28" s="483" t="s">
        <v>386</v>
      </c>
      <c r="F28" s="542"/>
      <c r="G28" s="542"/>
      <c r="H28" s="238">
        <f>2*3402.8</f>
        <v>6805.6</v>
      </c>
      <c r="I28" s="20">
        <f>финансир!M31</f>
        <v>1874.6578500000001</v>
      </c>
      <c r="J28" s="544" t="s">
        <v>549</v>
      </c>
      <c r="K28" s="245" t="s">
        <v>548</v>
      </c>
      <c r="L28" s="233"/>
      <c r="M28" s="345">
        <f t="shared" si="0"/>
        <v>0.27545813006935466</v>
      </c>
    </row>
    <row r="29" spans="1:13" ht="165.75" x14ac:dyDescent="0.25">
      <c r="A29" s="551"/>
      <c r="B29" s="551"/>
      <c r="C29" s="483" t="s">
        <v>326</v>
      </c>
      <c r="D29" s="483" t="s">
        <v>385</v>
      </c>
      <c r="E29" s="483" t="s">
        <v>386</v>
      </c>
      <c r="F29" s="543"/>
      <c r="G29" s="543"/>
      <c r="H29" s="238">
        <f>2*54.5</f>
        <v>109</v>
      </c>
      <c r="I29" s="20">
        <f>финансир!M32</f>
        <v>429.9</v>
      </c>
      <c r="J29" s="545"/>
      <c r="K29" s="245" t="s">
        <v>590</v>
      </c>
      <c r="L29" s="233"/>
      <c r="M29" s="345">
        <f t="shared" si="0"/>
        <v>3.9440366972477063</v>
      </c>
    </row>
    <row r="30" spans="1:13" ht="63.75" x14ac:dyDescent="0.25">
      <c r="A30" s="236" t="s">
        <v>113</v>
      </c>
      <c r="B30" s="237" t="s">
        <v>152</v>
      </c>
      <c r="C30" s="547" t="s">
        <v>325</v>
      </c>
      <c r="D30" s="483" t="s">
        <v>385</v>
      </c>
      <c r="E30" s="483" t="s">
        <v>386</v>
      </c>
      <c r="F30" s="233"/>
      <c r="G30" s="233"/>
      <c r="H30" s="238">
        <f>2*241.8</f>
        <v>483.6</v>
      </c>
      <c r="I30" s="20">
        <f>финансир!M33</f>
        <v>483.6</v>
      </c>
      <c r="J30" s="331" t="s">
        <v>346</v>
      </c>
      <c r="K30" s="468" t="s">
        <v>536</v>
      </c>
      <c r="L30" s="233"/>
      <c r="M30" s="345">
        <f t="shared" si="0"/>
        <v>1</v>
      </c>
    </row>
    <row r="31" spans="1:13" ht="63.75" x14ac:dyDescent="0.25">
      <c r="A31" s="236" t="s">
        <v>114</v>
      </c>
      <c r="B31" s="237" t="s">
        <v>60</v>
      </c>
      <c r="C31" s="548"/>
      <c r="D31" s="483" t="s">
        <v>385</v>
      </c>
      <c r="E31" s="483" t="s">
        <v>386</v>
      </c>
      <c r="F31" s="233"/>
      <c r="G31" s="233"/>
      <c r="H31" s="238">
        <f>2*1.7</f>
        <v>3.4</v>
      </c>
      <c r="I31" s="20">
        <f>финансир!M34</f>
        <v>0</v>
      </c>
      <c r="J31" s="331" t="s">
        <v>347</v>
      </c>
      <c r="K31" s="468" t="s">
        <v>559</v>
      </c>
      <c r="L31" s="233"/>
      <c r="M31" s="345">
        <f t="shared" si="0"/>
        <v>0</v>
      </c>
    </row>
    <row r="32" spans="1:13" ht="76.5" x14ac:dyDescent="0.25">
      <c r="A32" s="236" t="s">
        <v>115</v>
      </c>
      <c r="B32" s="237" t="s">
        <v>61</v>
      </c>
      <c r="C32" s="548"/>
      <c r="D32" s="483" t="s">
        <v>385</v>
      </c>
      <c r="E32" s="483" t="s">
        <v>386</v>
      </c>
      <c r="F32" s="233"/>
      <c r="G32" s="233"/>
      <c r="H32" s="238">
        <f>2*6257</f>
        <v>12514</v>
      </c>
      <c r="I32" s="20">
        <f>финансир!M35</f>
        <v>9334.4</v>
      </c>
      <c r="J32" s="331" t="s">
        <v>348</v>
      </c>
      <c r="K32" s="468" t="s">
        <v>510</v>
      </c>
      <c r="L32" s="233"/>
      <c r="M32" s="345">
        <f t="shared" si="0"/>
        <v>0.74591657343774964</v>
      </c>
    </row>
    <row r="33" spans="1:13" ht="89.25" x14ac:dyDescent="0.25">
      <c r="A33" s="236" t="s">
        <v>116</v>
      </c>
      <c r="B33" s="237" t="s">
        <v>62</v>
      </c>
      <c r="C33" s="548"/>
      <c r="D33" s="483" t="s">
        <v>385</v>
      </c>
      <c r="E33" s="483" t="s">
        <v>386</v>
      </c>
      <c r="F33" s="233"/>
      <c r="G33" s="233"/>
      <c r="H33" s="238">
        <f>2*2671</f>
        <v>5342</v>
      </c>
      <c r="I33" s="20">
        <f>финансир!M36</f>
        <v>5802.1130000000003</v>
      </c>
      <c r="J33" s="331" t="s">
        <v>403</v>
      </c>
      <c r="K33" s="467" t="s">
        <v>560</v>
      </c>
      <c r="L33" s="233"/>
      <c r="M33" s="345">
        <f t="shared" si="0"/>
        <v>1.0861312242605765</v>
      </c>
    </row>
    <row r="34" spans="1:13" ht="89.25" x14ac:dyDescent="0.25">
      <c r="A34" s="236" t="s">
        <v>117</v>
      </c>
      <c r="B34" s="237" t="s">
        <v>63</v>
      </c>
      <c r="C34" s="548"/>
      <c r="D34" s="483" t="s">
        <v>385</v>
      </c>
      <c r="E34" s="483" t="s">
        <v>386</v>
      </c>
      <c r="F34" s="233"/>
      <c r="G34" s="233"/>
      <c r="H34" s="238">
        <f>2*6321</f>
        <v>12642</v>
      </c>
      <c r="I34" s="20">
        <f>финансир!M37</f>
        <v>12929.2582</v>
      </c>
      <c r="J34" s="331" t="s">
        <v>515</v>
      </c>
      <c r="K34" s="245" t="s">
        <v>516</v>
      </c>
      <c r="L34" s="233"/>
      <c r="M34" s="345">
        <f t="shared" si="0"/>
        <v>1.0227225280809999</v>
      </c>
    </row>
    <row r="35" spans="1:13" ht="76.5" x14ac:dyDescent="0.25">
      <c r="A35" s="236" t="s">
        <v>118</v>
      </c>
      <c r="B35" s="237" t="s">
        <v>64</v>
      </c>
      <c r="C35" s="548"/>
      <c r="D35" s="483" t="s">
        <v>385</v>
      </c>
      <c r="E35" s="483" t="s">
        <v>386</v>
      </c>
      <c r="F35" s="233"/>
      <c r="G35" s="233"/>
      <c r="H35" s="238">
        <f>2*2180</f>
        <v>4360</v>
      </c>
      <c r="I35" s="20">
        <f>финансир!M38</f>
        <v>2813.252</v>
      </c>
      <c r="J35" s="331" t="s">
        <v>349</v>
      </c>
      <c r="K35" s="243" t="s">
        <v>391</v>
      </c>
      <c r="L35" s="233"/>
      <c r="M35" s="345">
        <f t="shared" si="0"/>
        <v>0.64524128440366968</v>
      </c>
    </row>
    <row r="36" spans="1:13" ht="76.5" x14ac:dyDescent="0.25">
      <c r="A36" s="236" t="s">
        <v>119</v>
      </c>
      <c r="B36" s="237" t="s">
        <v>65</v>
      </c>
      <c r="C36" s="548"/>
      <c r="D36" s="483" t="s">
        <v>385</v>
      </c>
      <c r="E36" s="483" t="s">
        <v>386</v>
      </c>
      <c r="F36" s="233"/>
      <c r="G36" s="233"/>
      <c r="H36" s="238">
        <f>2*680.2</f>
        <v>1360.4</v>
      </c>
      <c r="I36" s="20">
        <f>финансир!M39</f>
        <v>1435.5749800000001</v>
      </c>
      <c r="J36" s="331" t="s">
        <v>350</v>
      </c>
      <c r="K36" s="467" t="s">
        <v>561</v>
      </c>
      <c r="L36" s="233"/>
      <c r="M36" s="345">
        <f t="shared" si="0"/>
        <v>1.0552594678035871</v>
      </c>
    </row>
    <row r="37" spans="1:13" ht="76.5" x14ac:dyDescent="0.25">
      <c r="A37" s="236" t="s">
        <v>120</v>
      </c>
      <c r="B37" s="237" t="s">
        <v>13</v>
      </c>
      <c r="C37" s="548"/>
      <c r="D37" s="483" t="s">
        <v>385</v>
      </c>
      <c r="E37" s="483" t="s">
        <v>386</v>
      </c>
      <c r="F37" s="233"/>
      <c r="G37" s="233"/>
      <c r="H37" s="238">
        <f>2*8724.6</f>
        <v>17449.2</v>
      </c>
      <c r="I37" s="20">
        <f>финансир!M40</f>
        <v>14762.33625</v>
      </c>
      <c r="J37" s="331" t="s">
        <v>351</v>
      </c>
      <c r="K37" s="243" t="s">
        <v>517</v>
      </c>
      <c r="L37" s="233"/>
      <c r="M37" s="345">
        <f t="shared" si="0"/>
        <v>0.84601794065057423</v>
      </c>
    </row>
    <row r="38" spans="1:13" ht="178.5" x14ac:dyDescent="0.25">
      <c r="A38" s="236" t="s">
        <v>121</v>
      </c>
      <c r="B38" s="237" t="s">
        <v>66</v>
      </c>
      <c r="C38" s="548"/>
      <c r="D38" s="483" t="s">
        <v>385</v>
      </c>
      <c r="E38" s="483" t="s">
        <v>386</v>
      </c>
      <c r="F38" s="233"/>
      <c r="G38" s="233"/>
      <c r="H38" s="238">
        <v>1071</v>
      </c>
      <c r="I38" s="20">
        <f>финансир!M41</f>
        <v>4400.4129999999996</v>
      </c>
      <c r="J38" s="333" t="s">
        <v>404</v>
      </c>
      <c r="K38" s="477" t="s">
        <v>586</v>
      </c>
      <c r="L38" s="233"/>
      <c r="M38" s="345">
        <f t="shared" si="0"/>
        <v>4.1086956115779643</v>
      </c>
    </row>
    <row r="39" spans="1:13" ht="102" x14ac:dyDescent="0.25">
      <c r="A39" s="236" t="s">
        <v>122</v>
      </c>
      <c r="B39" s="237" t="s">
        <v>67</v>
      </c>
      <c r="C39" s="548"/>
      <c r="D39" s="483" t="s">
        <v>387</v>
      </c>
      <c r="E39" s="483" t="s">
        <v>387</v>
      </c>
      <c r="F39" s="233"/>
      <c r="G39" s="233"/>
      <c r="H39" s="238">
        <v>57200</v>
      </c>
      <c r="I39" s="20">
        <f>финансир!M42</f>
        <v>57859.483209999999</v>
      </c>
      <c r="J39" s="332" t="s">
        <v>405</v>
      </c>
      <c r="K39" s="467" t="s">
        <v>562</v>
      </c>
      <c r="L39" s="233"/>
      <c r="M39" s="345">
        <f t="shared" si="0"/>
        <v>1.0115294267482517</v>
      </c>
    </row>
    <row r="40" spans="1:13" ht="25.5" x14ac:dyDescent="0.25">
      <c r="A40" s="236" t="s">
        <v>123</v>
      </c>
      <c r="B40" s="237" t="s">
        <v>68</v>
      </c>
      <c r="C40" s="548"/>
      <c r="D40" s="483" t="s">
        <v>386</v>
      </c>
      <c r="E40" s="483" t="s">
        <v>386</v>
      </c>
      <c r="F40" s="233"/>
      <c r="G40" s="233"/>
      <c r="H40" s="238">
        <v>0</v>
      </c>
      <c r="I40" s="20">
        <f>финансир!M43</f>
        <v>27</v>
      </c>
      <c r="J40" s="334"/>
      <c r="K40" s="245" t="s">
        <v>390</v>
      </c>
      <c r="L40" s="233"/>
      <c r="M40" s="345" t="e">
        <f t="shared" si="0"/>
        <v>#DIV/0!</v>
      </c>
    </row>
    <row r="41" spans="1:13" ht="89.25" x14ac:dyDescent="0.25">
      <c r="A41" s="236" t="s">
        <v>124</v>
      </c>
      <c r="B41" s="237" t="s">
        <v>69</v>
      </c>
      <c r="C41" s="548"/>
      <c r="D41" s="483" t="s">
        <v>385</v>
      </c>
      <c r="E41" s="483" t="s">
        <v>386</v>
      </c>
      <c r="F41" s="233"/>
      <c r="G41" s="233"/>
      <c r="H41" s="238">
        <f>2*12.1</f>
        <v>24.2</v>
      </c>
      <c r="I41" s="20">
        <f>финансир!M44</f>
        <v>4.3689999999999998</v>
      </c>
      <c r="J41" s="331" t="s">
        <v>352</v>
      </c>
      <c r="K41" s="468" t="s">
        <v>563</v>
      </c>
      <c r="L41" s="233"/>
      <c r="M41" s="345">
        <f t="shared" si="0"/>
        <v>0.18053719008264463</v>
      </c>
    </row>
    <row r="42" spans="1:13" ht="76.5" x14ac:dyDescent="0.25">
      <c r="A42" s="236" t="s">
        <v>125</v>
      </c>
      <c r="B42" s="237" t="s">
        <v>70</v>
      </c>
      <c r="C42" s="548"/>
      <c r="D42" s="483" t="s">
        <v>385</v>
      </c>
      <c r="E42" s="483" t="s">
        <v>386</v>
      </c>
      <c r="F42" s="233"/>
      <c r="G42" s="233"/>
      <c r="H42" s="238">
        <f>2*653.2</f>
        <v>1306.4000000000001</v>
      </c>
      <c r="I42" s="20">
        <f>финансир!M45</f>
        <v>746.68525</v>
      </c>
      <c r="J42" s="331" t="s">
        <v>406</v>
      </c>
      <c r="K42" s="467" t="s">
        <v>564</v>
      </c>
      <c r="L42" s="233"/>
      <c r="M42" s="345">
        <f t="shared" si="0"/>
        <v>0.57155943815064292</v>
      </c>
    </row>
    <row r="43" spans="1:13" ht="318.75" x14ac:dyDescent="0.25">
      <c r="A43" s="236" t="s">
        <v>126</v>
      </c>
      <c r="B43" s="237" t="s">
        <v>14</v>
      </c>
      <c r="C43" s="548"/>
      <c r="D43" s="483" t="s">
        <v>385</v>
      </c>
      <c r="E43" s="483" t="s">
        <v>386</v>
      </c>
      <c r="F43" s="233"/>
      <c r="G43" s="233"/>
      <c r="H43" s="238">
        <f>2*4600</f>
        <v>9200</v>
      </c>
      <c r="I43" s="20">
        <f>финансир!M46</f>
        <v>13939</v>
      </c>
      <c r="J43" s="331" t="s">
        <v>353</v>
      </c>
      <c r="K43" s="467" t="s">
        <v>593</v>
      </c>
      <c r="L43" s="233"/>
      <c r="M43" s="345">
        <f t="shared" si="0"/>
        <v>1.515108695652174</v>
      </c>
    </row>
    <row r="44" spans="1:13" ht="89.25" x14ac:dyDescent="0.25">
      <c r="A44" s="236" t="s">
        <v>153</v>
      </c>
      <c r="B44" s="237" t="s">
        <v>154</v>
      </c>
      <c r="C44" s="548"/>
      <c r="D44" s="483" t="s">
        <v>385</v>
      </c>
      <c r="E44" s="483" t="s">
        <v>386</v>
      </c>
      <c r="F44" s="233"/>
      <c r="G44" s="233"/>
      <c r="H44" s="238">
        <f>2*26.5</f>
        <v>53</v>
      </c>
      <c r="I44" s="20">
        <f>финансир!M47</f>
        <v>29.282</v>
      </c>
      <c r="J44" s="331" t="s">
        <v>354</v>
      </c>
      <c r="K44" s="467" t="s">
        <v>565</v>
      </c>
      <c r="L44" s="246"/>
      <c r="M44" s="345">
        <f t="shared" si="0"/>
        <v>0.55249056603773583</v>
      </c>
    </row>
    <row r="45" spans="1:13" ht="89.25" x14ac:dyDescent="0.25">
      <c r="A45" s="236" t="s">
        <v>155</v>
      </c>
      <c r="B45" s="237" t="s">
        <v>156</v>
      </c>
      <c r="C45" s="548"/>
      <c r="D45" s="483" t="s">
        <v>385</v>
      </c>
      <c r="E45" s="483" t="s">
        <v>386</v>
      </c>
      <c r="F45" s="233"/>
      <c r="G45" s="233"/>
      <c r="H45" s="238">
        <f>2*301.8</f>
        <v>603.6</v>
      </c>
      <c r="I45" s="20">
        <f>финансир!M48</f>
        <v>175.18899999999999</v>
      </c>
      <c r="J45" s="331" t="s">
        <v>355</v>
      </c>
      <c r="K45" s="468" t="s">
        <v>537</v>
      </c>
      <c r="L45" s="233"/>
      <c r="M45" s="345">
        <f t="shared" si="0"/>
        <v>0.290240225314778</v>
      </c>
    </row>
    <row r="46" spans="1:13" ht="89.25" x14ac:dyDescent="0.25">
      <c r="A46" s="236" t="s">
        <v>157</v>
      </c>
      <c r="B46" s="237" t="s">
        <v>71</v>
      </c>
      <c r="C46" s="548"/>
      <c r="D46" s="483" t="s">
        <v>385</v>
      </c>
      <c r="E46" s="483" t="s">
        <v>386</v>
      </c>
      <c r="F46" s="233"/>
      <c r="G46" s="233"/>
      <c r="H46" s="238">
        <f>2*2806</f>
        <v>5612</v>
      </c>
      <c r="I46" s="20">
        <f>финансир!M49</f>
        <v>3212.0520000000001</v>
      </c>
      <c r="J46" s="331" t="s">
        <v>356</v>
      </c>
      <c r="K46" s="467" t="s">
        <v>566</v>
      </c>
      <c r="L46" s="233"/>
      <c r="M46" s="345">
        <f t="shared" si="0"/>
        <v>0.57235424091233078</v>
      </c>
    </row>
    <row r="47" spans="1:13" ht="89.25" x14ac:dyDescent="0.25">
      <c r="A47" s="236" t="s">
        <v>158</v>
      </c>
      <c r="B47" s="237" t="s">
        <v>159</v>
      </c>
      <c r="C47" s="548"/>
      <c r="D47" s="483" t="s">
        <v>387</v>
      </c>
      <c r="E47" s="483" t="s">
        <v>387</v>
      </c>
      <c r="F47" s="233"/>
      <c r="G47" s="233"/>
      <c r="H47" s="238">
        <v>2100</v>
      </c>
      <c r="I47" s="20">
        <f>финансир!M50</f>
        <v>0</v>
      </c>
      <c r="J47" s="331" t="s">
        <v>407</v>
      </c>
      <c r="K47" s="468" t="s">
        <v>567</v>
      </c>
      <c r="L47" s="233"/>
      <c r="M47" s="345">
        <f t="shared" si="0"/>
        <v>0</v>
      </c>
    </row>
    <row r="48" spans="1:13" ht="140.25" x14ac:dyDescent="0.25">
      <c r="A48" s="236" t="s">
        <v>160</v>
      </c>
      <c r="B48" s="237" t="s">
        <v>161</v>
      </c>
      <c r="C48" s="548"/>
      <c r="D48" s="483" t="s">
        <v>385</v>
      </c>
      <c r="E48" s="483" t="s">
        <v>386</v>
      </c>
      <c r="F48" s="47"/>
      <c r="G48" s="47"/>
      <c r="H48" s="238">
        <f>2*7919.3</f>
        <v>15838.6</v>
      </c>
      <c r="I48" s="20">
        <f>финансир!L51</f>
        <v>0</v>
      </c>
      <c r="J48" s="333" t="s">
        <v>408</v>
      </c>
      <c r="K48" s="245" t="s">
        <v>582</v>
      </c>
      <c r="L48" s="233"/>
      <c r="M48" s="345">
        <f t="shared" si="0"/>
        <v>0</v>
      </c>
    </row>
    <row r="49" spans="1:13" ht="63.75" x14ac:dyDescent="0.25">
      <c r="A49" s="236" t="s">
        <v>162</v>
      </c>
      <c r="B49" s="237" t="s">
        <v>163</v>
      </c>
      <c r="C49" s="548"/>
      <c r="D49" s="483" t="s">
        <v>385</v>
      </c>
      <c r="E49" s="483" t="s">
        <v>386</v>
      </c>
      <c r="F49" s="47"/>
      <c r="G49" s="47"/>
      <c r="H49" s="238">
        <f>2*28397</f>
        <v>56794</v>
      </c>
      <c r="I49" s="20">
        <f>финансир!L52</f>
        <v>100079.489</v>
      </c>
      <c r="J49" s="331" t="s">
        <v>409</v>
      </c>
      <c r="K49" s="467" t="s">
        <v>568</v>
      </c>
      <c r="L49" s="233"/>
      <c r="M49" s="345">
        <f t="shared" si="0"/>
        <v>1.7621489770046133</v>
      </c>
    </row>
    <row r="50" spans="1:13" ht="63.75" x14ac:dyDescent="0.25">
      <c r="A50" s="236" t="s">
        <v>164</v>
      </c>
      <c r="B50" s="237" t="s">
        <v>72</v>
      </c>
      <c r="C50" s="548"/>
      <c r="D50" s="483" t="s">
        <v>385</v>
      </c>
      <c r="E50" s="483" t="s">
        <v>386</v>
      </c>
      <c r="F50" s="47"/>
      <c r="G50" s="47"/>
      <c r="H50" s="238">
        <f>2*69</f>
        <v>138</v>
      </c>
      <c r="I50" s="20">
        <f>финансир!L53</f>
        <v>75.741500000000002</v>
      </c>
      <c r="J50" s="331" t="s">
        <v>364</v>
      </c>
      <c r="K50" s="467" t="s">
        <v>569</v>
      </c>
      <c r="L50" s="233"/>
      <c r="M50" s="345">
        <f t="shared" si="0"/>
        <v>0.54885144927536234</v>
      </c>
    </row>
    <row r="51" spans="1:13" ht="51" x14ac:dyDescent="0.25">
      <c r="A51" s="236" t="s">
        <v>165</v>
      </c>
      <c r="B51" s="237" t="s">
        <v>73</v>
      </c>
      <c r="C51" s="548"/>
      <c r="D51" s="483" t="s">
        <v>385</v>
      </c>
      <c r="E51" s="483" t="s">
        <v>386</v>
      </c>
      <c r="F51" s="47"/>
      <c r="G51" s="47"/>
      <c r="H51" s="238">
        <f>2*311735.9-31590.8</f>
        <v>591881</v>
      </c>
      <c r="I51" s="20">
        <f>финансир!L54</f>
        <v>437878.68248000002</v>
      </c>
      <c r="J51" s="331" t="s">
        <v>365</v>
      </c>
      <c r="K51" s="467" t="s">
        <v>570</v>
      </c>
      <c r="L51" s="233"/>
      <c r="M51" s="345">
        <f t="shared" si="0"/>
        <v>0.7398086481573154</v>
      </c>
    </row>
    <row r="52" spans="1:13" ht="63.75" x14ac:dyDescent="0.25">
      <c r="A52" s="236" t="s">
        <v>166</v>
      </c>
      <c r="B52" s="237" t="s">
        <v>74</v>
      </c>
      <c r="C52" s="548"/>
      <c r="D52" s="483" t="s">
        <v>385</v>
      </c>
      <c r="E52" s="483" t="s">
        <v>386</v>
      </c>
      <c r="F52" s="47"/>
      <c r="G52" s="47"/>
      <c r="H52" s="238">
        <f>2*276</f>
        <v>552</v>
      </c>
      <c r="I52" s="20">
        <f>финансир!L55</f>
        <v>25.37312</v>
      </c>
      <c r="J52" s="331" t="s">
        <v>410</v>
      </c>
      <c r="K52" s="467" t="s">
        <v>571</v>
      </c>
      <c r="L52" s="233"/>
      <c r="M52" s="345">
        <f t="shared" si="0"/>
        <v>4.5965797101449275E-2</v>
      </c>
    </row>
    <row r="53" spans="1:13" ht="89.25" x14ac:dyDescent="0.25">
      <c r="A53" s="236" t="s">
        <v>167</v>
      </c>
      <c r="B53" s="237" t="s">
        <v>75</v>
      </c>
      <c r="C53" s="548"/>
      <c r="D53" s="483" t="s">
        <v>385</v>
      </c>
      <c r="E53" s="483" t="s">
        <v>386</v>
      </c>
      <c r="F53" s="233"/>
      <c r="G53" s="233"/>
      <c r="H53" s="238">
        <f>2*174268</f>
        <v>348536</v>
      </c>
      <c r="I53" s="20">
        <f>финансир!M56</f>
        <v>255886.00795999999</v>
      </c>
      <c r="J53" s="331" t="s">
        <v>366</v>
      </c>
      <c r="K53" s="245" t="s">
        <v>524</v>
      </c>
      <c r="L53" s="233"/>
      <c r="M53" s="345">
        <f>I53/H53</f>
        <v>0.73417382410999144</v>
      </c>
    </row>
    <row r="54" spans="1:13" ht="76.5" x14ac:dyDescent="0.25">
      <c r="A54" s="236" t="s">
        <v>168</v>
      </c>
      <c r="B54" s="19" t="s">
        <v>169</v>
      </c>
      <c r="C54" s="548"/>
      <c r="D54" s="483" t="s">
        <v>385</v>
      </c>
      <c r="E54" s="483" t="s">
        <v>386</v>
      </c>
      <c r="F54" s="233"/>
      <c r="G54" s="233"/>
      <c r="H54" s="238">
        <f>2*78330</f>
        <v>156660</v>
      </c>
      <c r="I54" s="20">
        <f>финансир!M57</f>
        <v>109586.792</v>
      </c>
      <c r="J54" s="331" t="s">
        <v>367</v>
      </c>
      <c r="K54" s="245" t="s">
        <v>525</v>
      </c>
      <c r="L54" s="233"/>
      <c r="M54" s="345">
        <f t="shared" si="0"/>
        <v>0.69951992850759603</v>
      </c>
    </row>
    <row r="55" spans="1:13" ht="89.25" x14ac:dyDescent="0.25">
      <c r="A55" s="236" t="s">
        <v>318</v>
      </c>
      <c r="B55" s="110" t="s">
        <v>319</v>
      </c>
      <c r="C55" s="549"/>
      <c r="D55" s="233"/>
      <c r="E55" s="233"/>
      <c r="F55" s="233"/>
      <c r="G55" s="233"/>
      <c r="H55" s="238">
        <v>0</v>
      </c>
      <c r="I55" s="20">
        <f>финансир!M58</f>
        <v>0</v>
      </c>
      <c r="J55" s="245"/>
      <c r="K55" s="461" t="s">
        <v>504</v>
      </c>
      <c r="L55" s="233"/>
      <c r="M55" s="345" t="e">
        <f t="shared" si="0"/>
        <v>#DIV/0!</v>
      </c>
    </row>
    <row r="56" spans="1:13" ht="15.75" thickBot="1" x14ac:dyDescent="0.3">
      <c r="A56" s="552" t="s">
        <v>328</v>
      </c>
      <c r="B56" s="553"/>
      <c r="C56" s="247"/>
      <c r="D56" s="248"/>
      <c r="E56" s="249"/>
      <c r="F56" s="250"/>
      <c r="G56" s="250"/>
      <c r="H56" s="238"/>
      <c r="I56" s="20"/>
      <c r="J56" s="332"/>
      <c r="K56" s="379"/>
      <c r="L56" s="250"/>
      <c r="M56" s="252"/>
    </row>
    <row r="57" spans="1:13" ht="124.5" customHeight="1" thickBot="1" x14ac:dyDescent="0.3">
      <c r="A57" s="49"/>
      <c r="B57" s="48" t="s">
        <v>295</v>
      </c>
      <c r="C57" s="247"/>
      <c r="D57" s="253"/>
      <c r="E57" s="329"/>
      <c r="F57" s="254"/>
      <c r="G57" s="255"/>
      <c r="H57" s="238" t="s">
        <v>292</v>
      </c>
      <c r="I57" s="20" t="s">
        <v>292</v>
      </c>
      <c r="J57" s="491">
        <v>0.47</v>
      </c>
      <c r="K57" s="492">
        <v>0.47</v>
      </c>
      <c r="L57" s="270"/>
      <c r="M57" s="252"/>
    </row>
    <row r="58" spans="1:13" ht="90" thickBot="1" x14ac:dyDescent="0.3">
      <c r="A58" s="49"/>
      <c r="B58" s="48" t="s">
        <v>296</v>
      </c>
      <c r="C58" s="247"/>
      <c r="D58" s="253"/>
      <c r="E58" s="329"/>
      <c r="F58" s="254"/>
      <c r="G58" s="255"/>
      <c r="H58" s="238" t="s">
        <v>292</v>
      </c>
      <c r="I58" s="20" t="s">
        <v>292</v>
      </c>
      <c r="J58" s="493">
        <v>0.05</v>
      </c>
      <c r="K58" s="492">
        <v>0.05</v>
      </c>
      <c r="L58" s="270"/>
      <c r="M58" s="252"/>
    </row>
    <row r="59" spans="1:13" ht="76.5" x14ac:dyDescent="0.25">
      <c r="A59" s="49"/>
      <c r="B59" s="48" t="s">
        <v>329</v>
      </c>
      <c r="C59" s="247"/>
      <c r="D59" s="253"/>
      <c r="E59" s="329"/>
      <c r="F59" s="254"/>
      <c r="G59" s="255"/>
      <c r="H59" s="238" t="s">
        <v>292</v>
      </c>
      <c r="I59" s="20" t="s">
        <v>292</v>
      </c>
      <c r="J59" s="494">
        <v>97.8</v>
      </c>
      <c r="K59" s="494">
        <v>97.8</v>
      </c>
      <c r="L59" s="270"/>
      <c r="M59" s="252"/>
    </row>
    <row r="60" spans="1:13" ht="51" x14ac:dyDescent="0.25">
      <c r="A60" s="49"/>
      <c r="B60" s="48" t="s">
        <v>539</v>
      </c>
      <c r="C60" s="247"/>
      <c r="D60" s="253"/>
      <c r="E60" s="329"/>
      <c r="F60" s="254"/>
      <c r="G60" s="255"/>
      <c r="H60" s="238"/>
      <c r="I60" s="20"/>
      <c r="J60" s="494">
        <v>67</v>
      </c>
      <c r="K60" s="494">
        <v>67</v>
      </c>
      <c r="L60" s="270"/>
      <c r="M60" s="252"/>
    </row>
    <row r="61" spans="1:13" ht="15.75" x14ac:dyDescent="0.25">
      <c r="A61" s="295">
        <v>2</v>
      </c>
      <c r="B61" s="296" t="s">
        <v>289</v>
      </c>
      <c r="C61" s="313"/>
      <c r="D61" s="297"/>
      <c r="E61" s="297"/>
      <c r="F61" s="297"/>
      <c r="G61" s="297"/>
      <c r="H61" s="298">
        <f>H62+H63+H64+H65+H66+H67+H68+H69+H70+H71+H85+H86+H87+H88+H89</f>
        <v>1456409.1</v>
      </c>
      <c r="I61" s="298">
        <f>I62+I63+I64+I65+I66+I67+I68+I69+I70+I71+I85+I86+I87+I88+I89</f>
        <v>1419992.4652900002</v>
      </c>
      <c r="J61" s="299"/>
      <c r="K61" s="484"/>
      <c r="L61" s="300"/>
      <c r="M61" s="345">
        <f>I61/H61</f>
        <v>0.97499560067978164</v>
      </c>
    </row>
    <row r="62" spans="1:13" ht="89.25" x14ac:dyDescent="0.25">
      <c r="A62" s="236" t="s">
        <v>170</v>
      </c>
      <c r="B62" s="237" t="s">
        <v>76</v>
      </c>
      <c r="C62" s="314"/>
      <c r="D62" s="483" t="s">
        <v>385</v>
      </c>
      <c r="E62" s="483" t="s">
        <v>386</v>
      </c>
      <c r="F62" s="233"/>
      <c r="G62" s="233"/>
      <c r="H62" s="238">
        <f>2*63446.8</f>
        <v>126893.6</v>
      </c>
      <c r="I62" s="20">
        <f>финансир!M61</f>
        <v>104165.41293000001</v>
      </c>
      <c r="J62" s="333" t="s">
        <v>368</v>
      </c>
      <c r="K62" s="467" t="s">
        <v>572</v>
      </c>
      <c r="L62" s="233"/>
      <c r="M62" s="345">
        <f t="shared" ref="M62:M92" si="1">I62/H62</f>
        <v>0.82088783776329144</v>
      </c>
    </row>
    <row r="63" spans="1:13" ht="179.25" x14ac:dyDescent="0.25">
      <c r="A63" s="236" t="s">
        <v>171</v>
      </c>
      <c r="B63" s="237" t="s">
        <v>77</v>
      </c>
      <c r="C63" s="547" t="s">
        <v>313</v>
      </c>
      <c r="D63" s="483" t="s">
        <v>385</v>
      </c>
      <c r="E63" s="483" t="s">
        <v>386</v>
      </c>
      <c r="F63" s="233"/>
      <c r="G63" s="233"/>
      <c r="H63" s="238">
        <f>2*1600</f>
        <v>3200</v>
      </c>
      <c r="I63" s="20">
        <f>финансир!M62</f>
        <v>1600</v>
      </c>
      <c r="J63" s="331" t="s">
        <v>488</v>
      </c>
      <c r="K63" s="461" t="s">
        <v>489</v>
      </c>
      <c r="L63" s="461" t="s">
        <v>490</v>
      </c>
      <c r="M63" s="345">
        <f t="shared" si="1"/>
        <v>0.5</v>
      </c>
    </row>
    <row r="64" spans="1:13" ht="89.25" x14ac:dyDescent="0.25">
      <c r="A64" s="236" t="s">
        <v>172</v>
      </c>
      <c r="B64" s="237" t="s">
        <v>173</v>
      </c>
      <c r="C64" s="548"/>
      <c r="D64" s="483" t="s">
        <v>385</v>
      </c>
      <c r="E64" s="483" t="s">
        <v>386</v>
      </c>
      <c r="F64" s="233"/>
      <c r="G64" s="233"/>
      <c r="H64" s="238">
        <f>2*762.1</f>
        <v>1524.2</v>
      </c>
      <c r="I64" s="20">
        <f>финансир!M63</f>
        <v>1047.51623</v>
      </c>
      <c r="J64" s="333" t="s">
        <v>491</v>
      </c>
      <c r="K64" s="461" t="s">
        <v>492</v>
      </c>
      <c r="L64" s="461" t="s">
        <v>493</v>
      </c>
      <c r="M64" s="345">
        <f t="shared" si="1"/>
        <v>0.68725641648077673</v>
      </c>
    </row>
    <row r="65" spans="1:13" ht="153" x14ac:dyDescent="0.25">
      <c r="A65" s="236" t="s">
        <v>174</v>
      </c>
      <c r="B65" s="237" t="s">
        <v>78</v>
      </c>
      <c r="C65" s="548"/>
      <c r="D65" s="483" t="s">
        <v>385</v>
      </c>
      <c r="E65" s="483" t="s">
        <v>386</v>
      </c>
      <c r="F65" s="233"/>
      <c r="G65" s="233"/>
      <c r="H65" s="238">
        <f>2*986.4</f>
        <v>1972.8</v>
      </c>
      <c r="I65" s="20">
        <f>финансир!M64</f>
        <v>1198.6172200000001</v>
      </c>
      <c r="J65" s="333" t="s">
        <v>494</v>
      </c>
      <c r="K65" s="461" t="s">
        <v>495</v>
      </c>
      <c r="L65" s="461" t="s">
        <v>496</v>
      </c>
      <c r="M65" s="345">
        <f t="shared" si="1"/>
        <v>0.60757158353609086</v>
      </c>
    </row>
    <row r="66" spans="1:13" ht="140.25" x14ac:dyDescent="0.25">
      <c r="A66" s="236" t="s">
        <v>175</v>
      </c>
      <c r="B66" s="237" t="s">
        <v>176</v>
      </c>
      <c r="C66" s="548"/>
      <c r="D66" s="483" t="s">
        <v>385</v>
      </c>
      <c r="E66" s="483" t="s">
        <v>386</v>
      </c>
      <c r="F66" s="233"/>
      <c r="G66" s="233"/>
      <c r="H66" s="238">
        <f>2*2435.7</f>
        <v>4871.3999999999996</v>
      </c>
      <c r="I66" s="20">
        <f>финансир!M65</f>
        <v>6709.9229999999998</v>
      </c>
      <c r="J66" s="333" t="s">
        <v>497</v>
      </c>
      <c r="K66" s="461" t="s">
        <v>498</v>
      </c>
      <c r="L66" s="462"/>
      <c r="M66" s="345">
        <f t="shared" si="1"/>
        <v>1.377411627047666</v>
      </c>
    </row>
    <row r="67" spans="1:13" ht="76.5" x14ac:dyDescent="0.25">
      <c r="A67" s="236" t="s">
        <v>177</v>
      </c>
      <c r="B67" s="237" t="s">
        <v>79</v>
      </c>
      <c r="C67" s="548"/>
      <c r="D67" s="483" t="s">
        <v>385</v>
      </c>
      <c r="E67" s="483" t="s">
        <v>386</v>
      </c>
      <c r="F67" s="233"/>
      <c r="G67" s="233"/>
      <c r="H67" s="238">
        <f>2*135644.9</f>
        <v>271289.8</v>
      </c>
      <c r="I67" s="20">
        <f>финансир!M66</f>
        <v>281838.31300000002</v>
      </c>
      <c r="J67" s="333" t="s">
        <v>499</v>
      </c>
      <c r="K67" s="461" t="s">
        <v>500</v>
      </c>
      <c r="L67" s="233"/>
      <c r="M67" s="345">
        <f t="shared" si="1"/>
        <v>1.0388828219859354</v>
      </c>
    </row>
    <row r="68" spans="1:13" ht="102" x14ac:dyDescent="0.25">
      <c r="A68" s="236" t="s">
        <v>178</v>
      </c>
      <c r="B68" s="237" t="s">
        <v>80</v>
      </c>
      <c r="C68" s="548"/>
      <c r="D68" s="483" t="s">
        <v>385</v>
      </c>
      <c r="E68" s="483" t="s">
        <v>386</v>
      </c>
      <c r="F68" s="233"/>
      <c r="G68" s="233"/>
      <c r="H68" s="238">
        <f>2*4433.7</f>
        <v>8867.4</v>
      </c>
      <c r="I68" s="20">
        <f>финансир!M67</f>
        <v>9128.6720000000005</v>
      </c>
      <c r="J68" s="333" t="s">
        <v>501</v>
      </c>
      <c r="K68" s="461" t="s">
        <v>502</v>
      </c>
      <c r="L68" s="233"/>
      <c r="M68" s="345">
        <f t="shared" si="1"/>
        <v>1.0294643300178181</v>
      </c>
    </row>
    <row r="69" spans="1:13" ht="153" x14ac:dyDescent="0.25">
      <c r="A69" s="236" t="s">
        <v>179</v>
      </c>
      <c r="B69" s="237" t="s">
        <v>180</v>
      </c>
      <c r="C69" s="548"/>
      <c r="D69" s="483" t="s">
        <v>385</v>
      </c>
      <c r="E69" s="483" t="s">
        <v>386</v>
      </c>
      <c r="F69" s="257"/>
      <c r="G69" s="257"/>
      <c r="H69" s="238">
        <f>2*37.7</f>
        <v>75.400000000000006</v>
      </c>
      <c r="I69" s="20">
        <f>финансир!M68</f>
        <v>0</v>
      </c>
      <c r="J69" s="333" t="s">
        <v>503</v>
      </c>
      <c r="K69" s="461" t="s">
        <v>504</v>
      </c>
      <c r="L69" s="461" t="s">
        <v>504</v>
      </c>
      <c r="M69" s="345">
        <f t="shared" si="1"/>
        <v>0</v>
      </c>
    </row>
    <row r="70" spans="1:13" ht="102" x14ac:dyDescent="0.25">
      <c r="A70" s="236" t="s">
        <v>181</v>
      </c>
      <c r="B70" s="237" t="s">
        <v>182</v>
      </c>
      <c r="C70" s="549"/>
      <c r="D70" s="483" t="s">
        <v>387</v>
      </c>
      <c r="E70" s="483" t="s">
        <v>388</v>
      </c>
      <c r="F70" s="233"/>
      <c r="G70" s="233"/>
      <c r="H70" s="238">
        <v>245</v>
      </c>
      <c r="I70" s="20">
        <f>финансир!M69</f>
        <v>333.65</v>
      </c>
      <c r="J70" s="463" t="s">
        <v>411</v>
      </c>
      <c r="K70" s="461" t="s">
        <v>505</v>
      </c>
      <c r="L70" s="461"/>
      <c r="M70" s="345">
        <f t="shared" si="1"/>
        <v>1.3618367346938776</v>
      </c>
    </row>
    <row r="71" spans="1:13" ht="25.5" x14ac:dyDescent="0.25">
      <c r="A71" s="240" t="s">
        <v>183</v>
      </c>
      <c r="B71" s="241" t="s">
        <v>38</v>
      </c>
      <c r="C71" s="314"/>
      <c r="D71" s="246"/>
      <c r="E71" s="246"/>
      <c r="F71" s="246"/>
      <c r="G71" s="246"/>
      <c r="H71" s="242">
        <f>H72+H73+H74+H75+H76+H77+H78+H79+H80+H81+H82+H83+H84</f>
        <v>681029.99999999988</v>
      </c>
      <c r="I71" s="242">
        <f>I72+I73+I74+I75+I76+I77+I78+I79+I80+I81+I82+I83+I84</f>
        <v>767955.32759</v>
      </c>
      <c r="J71" s="336"/>
      <c r="K71" s="474"/>
      <c r="L71" s="246"/>
      <c r="M71" s="345">
        <f t="shared" si="1"/>
        <v>1.127638030028046</v>
      </c>
    </row>
    <row r="72" spans="1:13" ht="51" x14ac:dyDescent="0.25">
      <c r="A72" s="236" t="s">
        <v>184</v>
      </c>
      <c r="B72" s="237" t="s">
        <v>81</v>
      </c>
      <c r="C72" s="554"/>
      <c r="D72" s="483" t="s">
        <v>385</v>
      </c>
      <c r="E72" s="483" t="s">
        <v>386</v>
      </c>
      <c r="F72" s="233"/>
      <c r="G72" s="233"/>
      <c r="H72" s="238">
        <f>2*54336.2</f>
        <v>108672.4</v>
      </c>
      <c r="I72" s="20">
        <f>финансир!M71</f>
        <v>106741.40712</v>
      </c>
      <c r="J72" s="333" t="s">
        <v>369</v>
      </c>
      <c r="K72" s="467" t="s">
        <v>573</v>
      </c>
      <c r="L72" s="233"/>
      <c r="M72" s="345">
        <f t="shared" si="1"/>
        <v>0.98223106437329077</v>
      </c>
    </row>
    <row r="73" spans="1:13" ht="102" x14ac:dyDescent="0.25">
      <c r="A73" s="236" t="s">
        <v>185</v>
      </c>
      <c r="B73" s="237" t="s">
        <v>82</v>
      </c>
      <c r="C73" s="555"/>
      <c r="D73" s="483" t="s">
        <v>385</v>
      </c>
      <c r="E73" s="483" t="s">
        <v>386</v>
      </c>
      <c r="F73" s="233"/>
      <c r="G73" s="233"/>
      <c r="H73" s="238">
        <f>2*197.2</f>
        <v>394.4</v>
      </c>
      <c r="I73" s="20">
        <f>финансир!M72</f>
        <v>380.35027000000002</v>
      </c>
      <c r="J73" s="333" t="s">
        <v>370</v>
      </c>
      <c r="K73" s="467" t="s">
        <v>574</v>
      </c>
      <c r="L73" s="233"/>
      <c r="M73" s="345">
        <f t="shared" si="1"/>
        <v>0.9643769523326573</v>
      </c>
    </row>
    <row r="74" spans="1:13" ht="76.5" x14ac:dyDescent="0.25">
      <c r="A74" s="236" t="s">
        <v>186</v>
      </c>
      <c r="B74" s="237" t="s">
        <v>83</v>
      </c>
      <c r="C74" s="555"/>
      <c r="D74" s="483" t="s">
        <v>385</v>
      </c>
      <c r="E74" s="483" t="s">
        <v>386</v>
      </c>
      <c r="F74" s="233"/>
      <c r="G74" s="233"/>
      <c r="H74" s="238">
        <f>2*41725.4</f>
        <v>83450.8</v>
      </c>
      <c r="I74" s="20">
        <f>финансир!M73</f>
        <v>36891.249689999997</v>
      </c>
      <c r="J74" s="333" t="s">
        <v>412</v>
      </c>
      <c r="K74" s="478" t="s">
        <v>587</v>
      </c>
      <c r="L74" s="233"/>
      <c r="M74" s="345">
        <f t="shared" si="1"/>
        <v>0.44207185179770592</v>
      </c>
    </row>
    <row r="75" spans="1:13" ht="89.25" x14ac:dyDescent="0.25">
      <c r="A75" s="236" t="s">
        <v>187</v>
      </c>
      <c r="B75" s="237" t="s">
        <v>84</v>
      </c>
      <c r="C75" s="555"/>
      <c r="D75" s="483" t="s">
        <v>386</v>
      </c>
      <c r="E75" s="483" t="s">
        <v>386</v>
      </c>
      <c r="F75" s="233"/>
      <c r="G75" s="233"/>
      <c r="H75" s="238">
        <v>0</v>
      </c>
      <c r="I75" s="20">
        <f>финансир!M74</f>
        <v>0</v>
      </c>
      <c r="J75" s="336" t="s">
        <v>413</v>
      </c>
      <c r="K75" s="245" t="s">
        <v>576</v>
      </c>
      <c r="L75" s="233"/>
      <c r="M75" s="345" t="e">
        <f t="shared" si="1"/>
        <v>#DIV/0!</v>
      </c>
    </row>
    <row r="76" spans="1:13" ht="51" x14ac:dyDescent="0.25">
      <c r="A76" s="236" t="s">
        <v>188</v>
      </c>
      <c r="B76" s="237" t="s">
        <v>189</v>
      </c>
      <c r="C76" s="555"/>
      <c r="D76" s="483" t="s">
        <v>385</v>
      </c>
      <c r="E76" s="483" t="s">
        <v>386</v>
      </c>
      <c r="F76" s="233"/>
      <c r="G76" s="233"/>
      <c r="H76" s="238">
        <f>2*39687.4</f>
        <v>79374.8</v>
      </c>
      <c r="I76" s="20">
        <f>финансир!M75+финансир!L75</f>
        <v>177019.23712999999</v>
      </c>
      <c r="J76" s="333" t="s">
        <v>414</v>
      </c>
      <c r="K76" s="467" t="s">
        <v>575</v>
      </c>
      <c r="L76" s="233"/>
      <c r="M76" s="345">
        <f t="shared" si="1"/>
        <v>2.2301692367098878</v>
      </c>
    </row>
    <row r="77" spans="1:13" ht="63.75" x14ac:dyDescent="0.25">
      <c r="A77" s="236" t="s">
        <v>190</v>
      </c>
      <c r="B77" s="237" t="s">
        <v>191</v>
      </c>
      <c r="C77" s="555"/>
      <c r="D77" s="483" t="s">
        <v>385</v>
      </c>
      <c r="E77" s="483" t="s">
        <v>386</v>
      </c>
      <c r="F77" s="233"/>
      <c r="G77" s="233"/>
      <c r="H77" s="238">
        <f>2*54</f>
        <v>108</v>
      </c>
      <c r="I77" s="20">
        <f>финансир!M76</f>
        <v>86.326909999999998</v>
      </c>
      <c r="J77" s="333" t="s">
        <v>371</v>
      </c>
      <c r="K77" s="332" t="s">
        <v>392</v>
      </c>
      <c r="L77" s="233"/>
      <c r="M77" s="345">
        <f t="shared" si="1"/>
        <v>0.79932324074074068</v>
      </c>
    </row>
    <row r="78" spans="1:13" ht="165.75" x14ac:dyDescent="0.25">
      <c r="A78" s="236" t="s">
        <v>192</v>
      </c>
      <c r="B78" s="237" t="s">
        <v>85</v>
      </c>
      <c r="C78" s="555"/>
      <c r="D78" s="483" t="s">
        <v>385</v>
      </c>
      <c r="E78" s="483" t="s">
        <v>386</v>
      </c>
      <c r="F78" s="233"/>
      <c r="G78" s="233"/>
      <c r="H78" s="238">
        <f>2*89670.5</f>
        <v>179341</v>
      </c>
      <c r="I78" s="20">
        <f>финансир!M77</f>
        <v>213714.97099999999</v>
      </c>
      <c r="J78" s="333" t="s">
        <v>372</v>
      </c>
      <c r="K78" s="478" t="s">
        <v>588</v>
      </c>
      <c r="L78" s="233"/>
      <c r="M78" s="345">
        <f t="shared" si="1"/>
        <v>1.1916682242208976</v>
      </c>
    </row>
    <row r="79" spans="1:13" ht="51" x14ac:dyDescent="0.25">
      <c r="A79" s="236" t="s">
        <v>193</v>
      </c>
      <c r="B79" s="237" t="s">
        <v>86</v>
      </c>
      <c r="C79" s="555"/>
      <c r="D79" s="483" t="s">
        <v>385</v>
      </c>
      <c r="E79" s="483" t="s">
        <v>386</v>
      </c>
      <c r="F79" s="233"/>
      <c r="G79" s="233"/>
      <c r="H79" s="238">
        <f>2*843</f>
        <v>1686</v>
      </c>
      <c r="I79" s="20">
        <f>финансир!M78</f>
        <v>1042.8274699999999</v>
      </c>
      <c r="J79" s="333" t="s">
        <v>415</v>
      </c>
      <c r="K79" s="467" t="s">
        <v>577</v>
      </c>
      <c r="L79" s="233"/>
      <c r="M79" s="345">
        <f t="shared" si="1"/>
        <v>0.618521631079478</v>
      </c>
    </row>
    <row r="80" spans="1:13" ht="63.75" x14ac:dyDescent="0.25">
      <c r="A80" s="236" t="s">
        <v>194</v>
      </c>
      <c r="B80" s="237" t="s">
        <v>87</v>
      </c>
      <c r="C80" s="555"/>
      <c r="D80" s="483" t="s">
        <v>385</v>
      </c>
      <c r="E80" s="483" t="s">
        <v>386</v>
      </c>
      <c r="F80" s="233"/>
      <c r="G80" s="233"/>
      <c r="H80" s="238">
        <f>2*6073.9</f>
        <v>12147.8</v>
      </c>
      <c r="I80" s="20">
        <f>финансир!L79</f>
        <v>3168.692</v>
      </c>
      <c r="J80" s="333" t="s">
        <v>416</v>
      </c>
      <c r="K80" s="467" t="s">
        <v>578</v>
      </c>
      <c r="L80" s="233"/>
      <c r="M80" s="345">
        <f t="shared" si="1"/>
        <v>0.26084492665338582</v>
      </c>
    </row>
    <row r="81" spans="1:13" ht="89.25" x14ac:dyDescent="0.25">
      <c r="A81" s="236" t="s">
        <v>195</v>
      </c>
      <c r="B81" s="237" t="s">
        <v>88</v>
      </c>
      <c r="C81" s="555"/>
      <c r="D81" s="483" t="s">
        <v>385</v>
      </c>
      <c r="E81" s="483" t="s">
        <v>386</v>
      </c>
      <c r="F81" s="233"/>
      <c r="G81" s="233"/>
      <c r="H81" s="238">
        <f>2*96459.1</f>
        <v>192918.2</v>
      </c>
      <c r="I81" s="20">
        <f>финансир!L80</f>
        <v>208420.323</v>
      </c>
      <c r="J81" s="333" t="s">
        <v>373</v>
      </c>
      <c r="K81" s="475" t="s">
        <v>583</v>
      </c>
      <c r="L81" s="233"/>
      <c r="M81" s="345">
        <f t="shared" si="1"/>
        <v>1.0803559384236427</v>
      </c>
    </row>
    <row r="82" spans="1:13" ht="63.75" x14ac:dyDescent="0.25">
      <c r="A82" s="236" t="s">
        <v>196</v>
      </c>
      <c r="B82" s="237" t="s">
        <v>89</v>
      </c>
      <c r="C82" s="555"/>
      <c r="D82" s="483" t="s">
        <v>385</v>
      </c>
      <c r="E82" s="483" t="s">
        <v>386</v>
      </c>
      <c r="F82" s="233"/>
      <c r="G82" s="233"/>
      <c r="H82" s="238">
        <f>финансир!D81</f>
        <v>2.5</v>
      </c>
      <c r="I82" s="20">
        <f>финансир!L81</f>
        <v>0</v>
      </c>
      <c r="J82" s="333" t="s">
        <v>374</v>
      </c>
      <c r="K82" s="468" t="s">
        <v>567</v>
      </c>
      <c r="L82" s="233"/>
      <c r="M82" s="345">
        <f t="shared" si="1"/>
        <v>0</v>
      </c>
    </row>
    <row r="83" spans="1:13" ht="76.5" x14ac:dyDescent="0.25">
      <c r="A83" s="236" t="s">
        <v>197</v>
      </c>
      <c r="B83" s="237" t="s">
        <v>90</v>
      </c>
      <c r="C83" s="555"/>
      <c r="D83" s="483" t="s">
        <v>385</v>
      </c>
      <c r="E83" s="483" t="s">
        <v>386</v>
      </c>
      <c r="F83" s="233"/>
      <c r="G83" s="233"/>
      <c r="H83" s="238">
        <f>финансир!D82</f>
        <v>0.5</v>
      </c>
      <c r="I83" s="20">
        <f>финансир!L82</f>
        <v>0</v>
      </c>
      <c r="J83" s="333" t="s">
        <v>375</v>
      </c>
      <c r="K83" s="468" t="s">
        <v>567</v>
      </c>
      <c r="L83" s="233"/>
      <c r="M83" s="345">
        <f t="shared" si="1"/>
        <v>0</v>
      </c>
    </row>
    <row r="84" spans="1:13" ht="63.75" x14ac:dyDescent="0.25">
      <c r="A84" s="236" t="s">
        <v>198</v>
      </c>
      <c r="B84" s="237" t="s">
        <v>91</v>
      </c>
      <c r="C84" s="555"/>
      <c r="D84" s="483" t="s">
        <v>385</v>
      </c>
      <c r="E84" s="483" t="s">
        <v>386</v>
      </c>
      <c r="F84" s="233"/>
      <c r="G84" s="233"/>
      <c r="H84" s="238">
        <f>2*11466.8</f>
        <v>22933.599999999999</v>
      </c>
      <c r="I84" s="20">
        <f>финансир!L83</f>
        <v>20489.942999999999</v>
      </c>
      <c r="J84" s="333" t="s">
        <v>376</v>
      </c>
      <c r="K84" s="468" t="s">
        <v>579</v>
      </c>
      <c r="L84" s="233"/>
      <c r="M84" s="345">
        <f t="shared" si="1"/>
        <v>0.89344642794851226</v>
      </c>
    </row>
    <row r="85" spans="1:13" ht="51" x14ac:dyDescent="0.25">
      <c r="A85" s="236" t="s">
        <v>199</v>
      </c>
      <c r="B85" s="237" t="s">
        <v>200</v>
      </c>
      <c r="C85" s="555"/>
      <c r="D85" s="483" t="s">
        <v>385</v>
      </c>
      <c r="E85" s="483" t="s">
        <v>386</v>
      </c>
      <c r="F85" s="233"/>
      <c r="G85" s="233"/>
      <c r="H85" s="238">
        <f>2*423.2</f>
        <v>846.4</v>
      </c>
      <c r="I85" s="20">
        <f>финансир!M84</f>
        <v>498.07499999999999</v>
      </c>
      <c r="J85" s="336"/>
      <c r="K85" s="467" t="s">
        <v>580</v>
      </c>
      <c r="L85" s="233"/>
      <c r="M85" s="345">
        <f t="shared" si="1"/>
        <v>0.5884629017013232</v>
      </c>
    </row>
    <row r="86" spans="1:13" ht="409.5" x14ac:dyDescent="0.25">
      <c r="A86" s="236" t="s">
        <v>201</v>
      </c>
      <c r="B86" s="237" t="s">
        <v>92</v>
      </c>
      <c r="C86" s="555"/>
      <c r="D86" s="483" t="s">
        <v>385</v>
      </c>
      <c r="E86" s="483" t="s">
        <v>386</v>
      </c>
      <c r="F86" s="233"/>
      <c r="G86" s="233"/>
      <c r="H86" s="238">
        <f>2*3557.5</f>
        <v>7115</v>
      </c>
      <c r="I86" s="20">
        <f>финансир!L85</f>
        <v>3371.8583199999998</v>
      </c>
      <c r="J86" s="333" t="s">
        <v>506</v>
      </c>
      <c r="K86" s="479" t="s">
        <v>507</v>
      </c>
      <c r="L86" s="464" t="s">
        <v>508</v>
      </c>
      <c r="M86" s="345">
        <f t="shared" si="1"/>
        <v>0.4739084075895994</v>
      </c>
    </row>
    <row r="87" spans="1:13" ht="63.75" x14ac:dyDescent="0.25">
      <c r="A87" s="236" t="s">
        <v>202</v>
      </c>
      <c r="B87" s="237" t="s">
        <v>93</v>
      </c>
      <c r="C87" s="555"/>
      <c r="D87" s="483" t="s">
        <v>385</v>
      </c>
      <c r="E87" s="483" t="s">
        <v>386</v>
      </c>
      <c r="F87" s="233"/>
      <c r="G87" s="233"/>
      <c r="H87" s="238">
        <f>2*84.8</f>
        <v>169.6</v>
      </c>
      <c r="I87" s="20">
        <f>финансир!L86</f>
        <v>0</v>
      </c>
      <c r="J87" s="333" t="s">
        <v>377</v>
      </c>
      <c r="K87" s="468" t="s">
        <v>581</v>
      </c>
      <c r="L87" s="233"/>
      <c r="M87" s="345">
        <f t="shared" si="1"/>
        <v>0</v>
      </c>
    </row>
    <row r="88" spans="1:13" ht="89.25" x14ac:dyDescent="0.25">
      <c r="A88" s="236" t="s">
        <v>203</v>
      </c>
      <c r="B88" s="237" t="s">
        <v>94</v>
      </c>
      <c r="C88" s="556"/>
      <c r="D88" s="483" t="s">
        <v>385</v>
      </c>
      <c r="E88" s="483" t="s">
        <v>386</v>
      </c>
      <c r="F88" s="233"/>
      <c r="G88" s="233"/>
      <c r="H88" s="238">
        <f>2*168878.7</f>
        <v>337757.4</v>
      </c>
      <c r="I88" s="20">
        <f>финансир!M87</f>
        <v>230480.8</v>
      </c>
      <c r="J88" s="333" t="s">
        <v>389</v>
      </c>
      <c r="K88" s="245" t="s">
        <v>526</v>
      </c>
      <c r="L88" s="233"/>
      <c r="M88" s="345">
        <f t="shared" si="1"/>
        <v>0.68238564129164891</v>
      </c>
    </row>
    <row r="89" spans="1:13" ht="153" customHeight="1" x14ac:dyDescent="0.25">
      <c r="A89" s="236" t="s">
        <v>204</v>
      </c>
      <c r="B89" s="237" t="s">
        <v>205</v>
      </c>
      <c r="C89" s="483" t="s">
        <v>327</v>
      </c>
      <c r="D89" s="483" t="s">
        <v>385</v>
      </c>
      <c r="E89" s="483" t="s">
        <v>386</v>
      </c>
      <c r="F89" s="233"/>
      <c r="G89" s="233"/>
      <c r="H89" s="238">
        <f>5123.2+5427.9</f>
        <v>10551.099999999999</v>
      </c>
      <c r="I89" s="20">
        <f>финансир!M88</f>
        <v>11664.3</v>
      </c>
      <c r="J89" s="337" t="s">
        <v>529</v>
      </c>
      <c r="K89" s="337" t="s">
        <v>530</v>
      </c>
      <c r="L89" s="233"/>
      <c r="M89" s="345">
        <f t="shared" si="1"/>
        <v>1.1055055870951844</v>
      </c>
    </row>
    <row r="90" spans="1:13" ht="15" customHeight="1" x14ac:dyDescent="0.25">
      <c r="A90" s="552" t="s">
        <v>330</v>
      </c>
      <c r="B90" s="553"/>
      <c r="C90" s="258"/>
      <c r="D90" s="259"/>
      <c r="E90" s="260"/>
      <c r="F90" s="261"/>
      <c r="G90" s="250"/>
      <c r="H90" s="251"/>
      <c r="I90" s="250"/>
      <c r="J90" s="332"/>
      <c r="K90" s="250"/>
      <c r="L90" s="250"/>
      <c r="M90" s="345" t="e">
        <f t="shared" si="1"/>
        <v>#DIV/0!</v>
      </c>
    </row>
    <row r="91" spans="1:13" ht="102" x14ac:dyDescent="0.25">
      <c r="A91" s="49"/>
      <c r="B91" s="48" t="s">
        <v>331</v>
      </c>
      <c r="C91" s="258"/>
      <c r="D91" s="259"/>
      <c r="E91" s="262"/>
      <c r="F91" s="263"/>
      <c r="G91" s="264"/>
      <c r="H91" s="341" t="s">
        <v>292</v>
      </c>
      <c r="I91" s="341" t="s">
        <v>292</v>
      </c>
      <c r="J91" s="495">
        <v>0.81</v>
      </c>
      <c r="K91" s="489">
        <v>0.82</v>
      </c>
      <c r="L91" s="490" t="s">
        <v>509</v>
      </c>
      <c r="M91" s="345" t="e">
        <f t="shared" si="1"/>
        <v>#VALUE!</v>
      </c>
    </row>
    <row r="92" spans="1:13" ht="63.75" x14ac:dyDescent="0.25">
      <c r="A92" s="49"/>
      <c r="B92" s="48" t="s">
        <v>332</v>
      </c>
      <c r="C92" s="266"/>
      <c r="D92" s="259"/>
      <c r="E92" s="262"/>
      <c r="F92" s="263"/>
      <c r="G92" s="264"/>
      <c r="H92" s="341" t="s">
        <v>292</v>
      </c>
      <c r="I92" s="341" t="s">
        <v>292</v>
      </c>
      <c r="J92" s="46">
        <v>5.75</v>
      </c>
      <c r="K92" s="46">
        <v>5.91</v>
      </c>
      <c r="L92" s="330"/>
      <c r="M92" s="345" t="e">
        <f t="shared" si="1"/>
        <v>#VALUE!</v>
      </c>
    </row>
    <row r="93" spans="1:13" ht="38.25" x14ac:dyDescent="0.25">
      <c r="A93" s="49"/>
      <c r="B93" s="48" t="s">
        <v>538</v>
      </c>
      <c r="C93" s="266"/>
      <c r="D93" s="259"/>
      <c r="E93" s="262"/>
      <c r="F93" s="263"/>
      <c r="G93" s="264"/>
      <c r="H93" s="341"/>
      <c r="I93" s="341"/>
      <c r="J93" s="335">
        <v>72</v>
      </c>
      <c r="K93" s="330">
        <v>72</v>
      </c>
      <c r="L93" s="330"/>
      <c r="M93" s="345"/>
    </row>
    <row r="94" spans="1:13" ht="18.75" x14ac:dyDescent="0.3">
      <c r="A94" s="302" t="s">
        <v>290</v>
      </c>
      <c r="B94" s="303" t="s">
        <v>39</v>
      </c>
      <c r="C94" s="547" t="s">
        <v>314</v>
      </c>
      <c r="D94" s="304"/>
      <c r="E94" s="304"/>
      <c r="F94" s="304"/>
      <c r="G94" s="304"/>
      <c r="H94" s="318">
        <f>H95+H106+H110+H117</f>
        <v>5695</v>
      </c>
      <c r="I94" s="318">
        <f>I95+I106+I110+I117</f>
        <v>135</v>
      </c>
      <c r="J94" s="305"/>
      <c r="K94" s="301"/>
      <c r="L94" s="306"/>
      <c r="M94" s="2"/>
    </row>
    <row r="95" spans="1:13" ht="38.25" x14ac:dyDescent="0.25">
      <c r="A95" s="28" t="s">
        <v>211</v>
      </c>
      <c r="B95" s="29" t="s">
        <v>127</v>
      </c>
      <c r="C95" s="548"/>
      <c r="D95" s="483" t="s">
        <v>387</v>
      </c>
      <c r="E95" s="483" t="s">
        <v>386</v>
      </c>
      <c r="F95" s="483"/>
      <c r="G95" s="483"/>
      <c r="H95" s="64">
        <v>5500</v>
      </c>
      <c r="I95" s="42">
        <f>финансир!L91+финансир!M91</f>
        <v>0</v>
      </c>
      <c r="J95" s="245"/>
      <c r="K95" s="245"/>
      <c r="L95" s="233"/>
      <c r="M95" s="4"/>
    </row>
    <row r="96" spans="1:13" ht="140.25" x14ac:dyDescent="0.25">
      <c r="A96" s="28" t="s">
        <v>212</v>
      </c>
      <c r="B96" s="29" t="s">
        <v>128</v>
      </c>
      <c r="C96" s="548"/>
      <c r="D96" s="483" t="s">
        <v>387</v>
      </c>
      <c r="E96" s="483" t="s">
        <v>386</v>
      </c>
      <c r="F96" s="233"/>
      <c r="G96" s="233"/>
      <c r="H96" s="64">
        <v>5500</v>
      </c>
      <c r="I96" s="42">
        <f>финансир!L92+финансир!M92</f>
        <v>0</v>
      </c>
      <c r="J96" s="245"/>
      <c r="K96" s="245"/>
      <c r="L96" s="233"/>
      <c r="M96" s="4"/>
    </row>
    <row r="97" spans="1:13" ht="51" x14ac:dyDescent="0.25">
      <c r="A97" s="28" t="s">
        <v>213</v>
      </c>
      <c r="B97" s="29" t="s">
        <v>129</v>
      </c>
      <c r="C97" s="548"/>
      <c r="D97" s="483"/>
      <c r="E97" s="483"/>
      <c r="F97" s="483"/>
      <c r="G97" s="483"/>
      <c r="H97" s="64">
        <v>0</v>
      </c>
      <c r="I97" s="42">
        <f>финансир!L93+финансир!M93</f>
        <v>0</v>
      </c>
      <c r="J97" s="245"/>
      <c r="K97" s="243"/>
      <c r="L97" s="233"/>
      <c r="M97" s="4"/>
    </row>
    <row r="98" spans="1:13" ht="38.25" x14ac:dyDescent="0.25">
      <c r="A98" s="28" t="s">
        <v>214</v>
      </c>
      <c r="B98" s="29" t="s">
        <v>130</v>
      </c>
      <c r="C98" s="548"/>
      <c r="D98" s="483"/>
      <c r="E98" s="483"/>
      <c r="F98" s="483"/>
      <c r="G98" s="483"/>
      <c r="H98" s="64">
        <v>0</v>
      </c>
      <c r="I98" s="42">
        <f>финансир!L94+финансир!M94</f>
        <v>0</v>
      </c>
      <c r="J98" s="239"/>
      <c r="K98" s="243"/>
      <c r="L98" s="233"/>
      <c r="M98" s="4"/>
    </row>
    <row r="99" spans="1:13" ht="51" x14ac:dyDescent="0.25">
      <c r="A99" s="28" t="s">
        <v>215</v>
      </c>
      <c r="B99" s="29" t="s">
        <v>131</v>
      </c>
      <c r="C99" s="548"/>
      <c r="D99" s="483"/>
      <c r="E99" s="483"/>
      <c r="F99" s="483"/>
      <c r="G99" s="483"/>
      <c r="H99" s="64">
        <v>0</v>
      </c>
      <c r="I99" s="42">
        <f>финансир!L95+финансир!M95</f>
        <v>0</v>
      </c>
      <c r="J99" s="239"/>
      <c r="K99" s="243"/>
      <c r="L99" s="233"/>
      <c r="M99" s="4"/>
    </row>
    <row r="100" spans="1:13" ht="63.75" x14ac:dyDescent="0.25">
      <c r="A100" s="28" t="s">
        <v>216</v>
      </c>
      <c r="B100" s="29" t="s">
        <v>132</v>
      </c>
      <c r="C100" s="548"/>
      <c r="D100" s="483"/>
      <c r="E100" s="483"/>
      <c r="F100" s="483"/>
      <c r="G100" s="483"/>
      <c r="H100" s="64">
        <v>0</v>
      </c>
      <c r="I100" s="42">
        <f>финансир!L96+финансир!M96</f>
        <v>0</v>
      </c>
      <c r="J100" s="48"/>
      <c r="K100" s="243"/>
      <c r="L100" s="233"/>
      <c r="M100" s="4"/>
    </row>
    <row r="101" spans="1:13" ht="51" x14ac:dyDescent="0.25">
      <c r="A101" s="28" t="s">
        <v>217</v>
      </c>
      <c r="B101" s="29" t="s">
        <v>207</v>
      </c>
      <c r="C101" s="548"/>
      <c r="D101" s="483"/>
      <c r="E101" s="483"/>
      <c r="F101" s="483"/>
      <c r="G101" s="483"/>
      <c r="H101" s="64">
        <v>0</v>
      </c>
      <c r="I101" s="42">
        <f>финансир!L97+финансир!M97</f>
        <v>0</v>
      </c>
      <c r="J101" s="48"/>
      <c r="K101" s="243"/>
      <c r="L101" s="233"/>
      <c r="M101" s="4"/>
    </row>
    <row r="102" spans="1:13" ht="51" x14ac:dyDescent="0.25">
      <c r="A102" s="28" t="s">
        <v>218</v>
      </c>
      <c r="B102" s="29" t="s">
        <v>133</v>
      </c>
      <c r="C102" s="548"/>
      <c r="D102" s="483" t="s">
        <v>387</v>
      </c>
      <c r="E102" s="483" t="s">
        <v>386</v>
      </c>
      <c r="F102" s="233"/>
      <c r="G102" s="233"/>
      <c r="H102" s="64">
        <v>2000</v>
      </c>
      <c r="I102" s="42">
        <f>финансир!L98+финансир!M98</f>
        <v>0</v>
      </c>
      <c r="J102" s="239" t="s">
        <v>417</v>
      </c>
      <c r="K102" s="49" t="s">
        <v>518</v>
      </c>
      <c r="L102" s="233"/>
      <c r="M102" s="4"/>
    </row>
    <row r="103" spans="1:13" ht="51" x14ac:dyDescent="0.25">
      <c r="A103" s="28" t="s">
        <v>219</v>
      </c>
      <c r="B103" s="29" t="s">
        <v>134</v>
      </c>
      <c r="C103" s="548"/>
      <c r="D103" s="483" t="s">
        <v>387</v>
      </c>
      <c r="E103" s="483" t="s">
        <v>386</v>
      </c>
      <c r="F103" s="233"/>
      <c r="G103" s="233"/>
      <c r="H103" s="64">
        <v>2000</v>
      </c>
      <c r="I103" s="42">
        <f>финансир!L99+финансир!M99</f>
        <v>0</v>
      </c>
      <c r="J103" s="239" t="s">
        <v>417</v>
      </c>
      <c r="K103" s="485" t="s">
        <v>519</v>
      </c>
      <c r="L103" s="233"/>
      <c r="M103" s="4"/>
    </row>
    <row r="104" spans="1:13" ht="89.25" x14ac:dyDescent="0.25">
      <c r="A104" s="28" t="s">
        <v>220</v>
      </c>
      <c r="B104" s="29" t="s">
        <v>135</v>
      </c>
      <c r="C104" s="548"/>
      <c r="D104" s="483" t="s">
        <v>387</v>
      </c>
      <c r="E104" s="483" t="s">
        <v>386</v>
      </c>
      <c r="F104" s="233"/>
      <c r="G104" s="233"/>
      <c r="H104" s="64">
        <v>1500</v>
      </c>
      <c r="I104" s="42">
        <f>финансир!L100+финансир!M100</f>
        <v>0</v>
      </c>
      <c r="J104" s="239" t="s">
        <v>417</v>
      </c>
      <c r="K104" s="486" t="s">
        <v>520</v>
      </c>
      <c r="L104" s="233"/>
      <c r="M104" s="4"/>
    </row>
    <row r="105" spans="1:13" ht="51" x14ac:dyDescent="0.25">
      <c r="A105" s="28" t="s">
        <v>221</v>
      </c>
      <c r="B105" s="29" t="s">
        <v>136</v>
      </c>
      <c r="C105" s="548"/>
      <c r="D105" s="233"/>
      <c r="E105" s="233"/>
      <c r="F105" s="233"/>
      <c r="G105" s="233"/>
      <c r="H105" s="64">
        <v>0</v>
      </c>
      <c r="I105" s="42">
        <f>финансир!L101+финансир!M101</f>
        <v>0</v>
      </c>
      <c r="J105" s="245"/>
      <c r="K105" s="245"/>
      <c r="L105" s="233"/>
      <c r="M105" s="4"/>
    </row>
    <row r="106" spans="1:13" ht="51" x14ac:dyDescent="0.25">
      <c r="A106" s="28" t="s">
        <v>222</v>
      </c>
      <c r="B106" s="29" t="s">
        <v>137</v>
      </c>
      <c r="C106" s="548"/>
      <c r="D106" s="483"/>
      <c r="E106" s="483"/>
      <c r="F106" s="483"/>
      <c r="G106" s="483"/>
      <c r="H106" s="64">
        <v>0</v>
      </c>
      <c r="I106" s="42">
        <f>финансир!L102+финансир!M102</f>
        <v>0</v>
      </c>
      <c r="J106" s="245"/>
      <c r="K106" s="245"/>
      <c r="L106" s="233"/>
      <c r="M106" s="4"/>
    </row>
    <row r="107" spans="1:13" ht="38.25" x14ac:dyDescent="0.25">
      <c r="A107" s="28" t="s">
        <v>223</v>
      </c>
      <c r="B107" s="29" t="s">
        <v>138</v>
      </c>
      <c r="C107" s="548"/>
      <c r="D107" s="483"/>
      <c r="E107" s="483"/>
      <c r="F107" s="483"/>
      <c r="G107" s="483"/>
      <c r="H107" s="64">
        <v>0</v>
      </c>
      <c r="I107" s="42">
        <f>финансир!L103+финансир!M103</f>
        <v>0</v>
      </c>
      <c r="J107" s="245"/>
      <c r="K107" s="245"/>
      <c r="L107" s="233"/>
      <c r="M107" s="4"/>
    </row>
    <row r="108" spans="1:13" ht="38.25" x14ac:dyDescent="0.25">
      <c r="A108" s="28" t="s">
        <v>224</v>
      </c>
      <c r="B108" s="29" t="s">
        <v>130</v>
      </c>
      <c r="C108" s="548"/>
      <c r="D108" s="483"/>
      <c r="E108" s="483"/>
      <c r="F108" s="483"/>
      <c r="G108" s="483"/>
      <c r="H108" s="64">
        <v>0</v>
      </c>
      <c r="I108" s="42">
        <f>финансир!L104+финансир!M104</f>
        <v>0</v>
      </c>
      <c r="J108" s="48"/>
      <c r="K108" s="243"/>
      <c r="L108" s="233"/>
      <c r="M108" s="4"/>
    </row>
    <row r="109" spans="1:13" ht="76.5" x14ac:dyDescent="0.25">
      <c r="A109" s="28" t="s">
        <v>225</v>
      </c>
      <c r="B109" s="29" t="s">
        <v>139</v>
      </c>
      <c r="C109" s="548"/>
      <c r="D109" s="233"/>
      <c r="E109" s="233"/>
      <c r="F109" s="233"/>
      <c r="G109" s="233"/>
      <c r="H109" s="64">
        <v>0</v>
      </c>
      <c r="I109" s="42">
        <f>финансир!L105+финансир!M105</f>
        <v>0</v>
      </c>
      <c r="J109" s="245"/>
      <c r="K109" s="245"/>
      <c r="L109" s="233"/>
      <c r="M109" s="4"/>
    </row>
    <row r="110" spans="1:13" ht="38.25" x14ac:dyDescent="0.25">
      <c r="A110" s="28" t="s">
        <v>226</v>
      </c>
      <c r="B110" s="29" t="s">
        <v>140</v>
      </c>
      <c r="C110" s="548"/>
      <c r="D110" s="483" t="s">
        <v>387</v>
      </c>
      <c r="E110" s="483" t="s">
        <v>386</v>
      </c>
      <c r="F110" s="233"/>
      <c r="G110" s="233"/>
      <c r="H110" s="64">
        <v>195</v>
      </c>
      <c r="I110" s="42">
        <f>финансир!L106+финансир!M106</f>
        <v>135</v>
      </c>
      <c r="J110" s="245"/>
      <c r="K110" s="245"/>
      <c r="L110" s="233"/>
      <c r="M110" s="4"/>
    </row>
    <row r="111" spans="1:13" ht="63.75" x14ac:dyDescent="0.25">
      <c r="A111" s="28" t="s">
        <v>227</v>
      </c>
      <c r="B111" s="29" t="s">
        <v>141</v>
      </c>
      <c r="C111" s="548"/>
      <c r="D111" s="483" t="s">
        <v>387</v>
      </c>
      <c r="E111" s="483" t="s">
        <v>387</v>
      </c>
      <c r="F111" s="483"/>
      <c r="G111" s="483"/>
      <c r="H111" s="64">
        <v>50</v>
      </c>
      <c r="I111" s="42">
        <f>финансир!L107+финансир!M107</f>
        <v>50</v>
      </c>
      <c r="J111" s="243" t="s">
        <v>418</v>
      </c>
      <c r="K111" s="482" t="s">
        <v>521</v>
      </c>
      <c r="L111" s="233"/>
      <c r="M111" s="4"/>
    </row>
    <row r="112" spans="1:13" ht="102" x14ac:dyDescent="0.25">
      <c r="A112" s="28" t="s">
        <v>228</v>
      </c>
      <c r="B112" s="29" t="s">
        <v>142</v>
      </c>
      <c r="C112" s="548"/>
      <c r="D112" s="483" t="s">
        <v>387</v>
      </c>
      <c r="E112" s="483" t="s">
        <v>386</v>
      </c>
      <c r="F112" s="233"/>
      <c r="G112" s="233"/>
      <c r="H112" s="64">
        <v>145</v>
      </c>
      <c r="I112" s="42">
        <f>финансир!L108+финансир!M108</f>
        <v>85</v>
      </c>
      <c r="J112" s="245"/>
      <c r="K112" s="245"/>
      <c r="L112" s="233"/>
      <c r="M112" s="4"/>
    </row>
    <row r="113" spans="1:13" ht="102" x14ac:dyDescent="0.25">
      <c r="A113" s="28" t="s">
        <v>229</v>
      </c>
      <c r="B113" s="29" t="s">
        <v>143</v>
      </c>
      <c r="C113" s="548"/>
      <c r="D113" s="483" t="s">
        <v>387</v>
      </c>
      <c r="E113" s="483" t="s">
        <v>387</v>
      </c>
      <c r="F113" s="483"/>
      <c r="G113" s="483"/>
      <c r="H113" s="64">
        <v>50</v>
      </c>
      <c r="I113" s="42">
        <f>финансир!L109+финансир!M109</f>
        <v>50</v>
      </c>
      <c r="J113" s="48" t="s">
        <v>419</v>
      </c>
      <c r="K113" s="487" t="s">
        <v>522</v>
      </c>
      <c r="L113" s="233"/>
      <c r="M113" s="4"/>
    </row>
    <row r="114" spans="1:13" ht="51" x14ac:dyDescent="0.25">
      <c r="A114" s="28" t="s">
        <v>230</v>
      </c>
      <c r="B114" s="29" t="s">
        <v>144</v>
      </c>
      <c r="C114" s="548"/>
      <c r="D114" s="483" t="s">
        <v>387</v>
      </c>
      <c r="E114" s="483" t="s">
        <v>386</v>
      </c>
      <c r="F114" s="483"/>
      <c r="G114" s="483"/>
      <c r="H114" s="64">
        <v>10</v>
      </c>
      <c r="I114" s="42">
        <f>финансир!L110+финансир!M110</f>
        <v>10</v>
      </c>
      <c r="J114" s="48" t="s">
        <v>420</v>
      </c>
      <c r="K114" s="243"/>
      <c r="L114" s="233"/>
      <c r="M114" s="4"/>
    </row>
    <row r="115" spans="1:13" ht="76.5" x14ac:dyDescent="0.25">
      <c r="A115" s="28" t="s">
        <v>231</v>
      </c>
      <c r="B115" s="29" t="s">
        <v>145</v>
      </c>
      <c r="C115" s="548"/>
      <c r="D115" s="483" t="s">
        <v>387</v>
      </c>
      <c r="E115" s="483" t="s">
        <v>388</v>
      </c>
      <c r="F115" s="483"/>
      <c r="G115" s="483"/>
      <c r="H115" s="64">
        <v>25</v>
      </c>
      <c r="I115" s="42">
        <f>финансир!L111+финансир!M111</f>
        <v>25</v>
      </c>
      <c r="J115" s="48" t="s">
        <v>420</v>
      </c>
      <c r="K115" s="486" t="s">
        <v>527</v>
      </c>
      <c r="L115" s="233"/>
      <c r="M115" s="4"/>
    </row>
    <row r="116" spans="1:13" ht="51" x14ac:dyDescent="0.25">
      <c r="A116" s="28" t="s">
        <v>232</v>
      </c>
      <c r="B116" s="29" t="s">
        <v>146</v>
      </c>
      <c r="C116" s="548"/>
      <c r="D116" s="483" t="s">
        <v>387</v>
      </c>
      <c r="E116" s="483" t="s">
        <v>387</v>
      </c>
      <c r="F116" s="483"/>
      <c r="G116" s="483"/>
      <c r="H116" s="64">
        <v>60</v>
      </c>
      <c r="I116" s="42">
        <f>финансир!L112+финансир!M112</f>
        <v>0</v>
      </c>
      <c r="J116" s="48" t="s">
        <v>421</v>
      </c>
      <c r="K116" s="243"/>
      <c r="L116" s="233"/>
      <c r="M116" s="4"/>
    </row>
    <row r="117" spans="1:13" x14ac:dyDescent="0.25">
      <c r="A117" s="28" t="s">
        <v>233</v>
      </c>
      <c r="B117" s="29" t="s">
        <v>17</v>
      </c>
      <c r="C117" s="548"/>
      <c r="D117" s="483" t="s">
        <v>388</v>
      </c>
      <c r="E117" s="483" t="s">
        <v>388</v>
      </c>
      <c r="F117" s="233"/>
      <c r="G117" s="233"/>
      <c r="H117" s="64">
        <v>0</v>
      </c>
      <c r="I117" s="42">
        <f>финансир!L113+финансир!M113</f>
        <v>0</v>
      </c>
      <c r="J117" s="245"/>
      <c r="K117" s="245"/>
      <c r="L117" s="233"/>
      <c r="M117" s="4"/>
    </row>
    <row r="118" spans="1:13" ht="137.25" customHeight="1" x14ac:dyDescent="0.25">
      <c r="A118" s="28" t="s">
        <v>234</v>
      </c>
      <c r="B118" s="29" t="s">
        <v>147</v>
      </c>
      <c r="C118" s="549"/>
      <c r="D118" s="483" t="s">
        <v>388</v>
      </c>
      <c r="E118" s="483" t="s">
        <v>388</v>
      </c>
      <c r="F118" s="483"/>
      <c r="G118" s="483"/>
      <c r="H118" s="64">
        <v>0</v>
      </c>
      <c r="I118" s="42">
        <f>финансир!L114+финансир!M114</f>
        <v>0</v>
      </c>
      <c r="J118" s="243"/>
      <c r="K118" s="486" t="s">
        <v>523</v>
      </c>
      <c r="L118" s="233"/>
      <c r="M118" s="4"/>
    </row>
    <row r="119" spans="1:13" x14ac:dyDescent="0.25">
      <c r="A119" s="552" t="s">
        <v>333</v>
      </c>
      <c r="B119" s="553"/>
      <c r="C119" s="267"/>
      <c r="D119" s="268"/>
      <c r="E119" s="249"/>
      <c r="F119" s="250"/>
      <c r="G119" s="250"/>
      <c r="H119" s="30"/>
      <c r="I119" s="20"/>
      <c r="J119" s="332"/>
      <c r="K119" s="250"/>
      <c r="L119" s="250"/>
      <c r="M119" s="252"/>
    </row>
    <row r="120" spans="1:13" ht="64.5" thickBot="1" x14ac:dyDescent="0.3">
      <c r="A120" s="49"/>
      <c r="B120" s="48" t="s">
        <v>301</v>
      </c>
      <c r="C120" s="267"/>
      <c r="D120" s="259"/>
      <c r="E120" s="262"/>
      <c r="F120" s="263"/>
      <c r="G120" s="264"/>
      <c r="H120" s="30"/>
      <c r="I120" s="20"/>
      <c r="J120" s="400">
        <v>94</v>
      </c>
      <c r="K120" s="335">
        <v>0</v>
      </c>
      <c r="L120" s="256"/>
      <c r="M120" s="252"/>
    </row>
    <row r="121" spans="1:13" ht="90" thickBot="1" x14ac:dyDescent="0.3">
      <c r="A121" s="49"/>
      <c r="B121" s="48" t="s">
        <v>293</v>
      </c>
      <c r="C121" s="267"/>
      <c r="D121" s="259"/>
      <c r="E121" s="262"/>
      <c r="F121" s="263"/>
      <c r="G121" s="264"/>
      <c r="H121" s="30"/>
      <c r="I121" s="20"/>
      <c r="J121" s="458">
        <v>35.5</v>
      </c>
      <c r="K121" s="335">
        <v>0</v>
      </c>
      <c r="L121" s="256"/>
      <c r="M121" s="252"/>
    </row>
    <row r="122" spans="1:13" ht="51" x14ac:dyDescent="0.25">
      <c r="A122" s="49"/>
      <c r="B122" s="48" t="s">
        <v>302</v>
      </c>
      <c r="C122" s="267"/>
      <c r="D122" s="259"/>
      <c r="E122" s="262"/>
      <c r="F122" s="263"/>
      <c r="G122" s="264"/>
      <c r="H122" s="30"/>
      <c r="I122" s="20"/>
      <c r="J122" s="235">
        <v>4.8</v>
      </c>
      <c r="K122" s="335">
        <v>0</v>
      </c>
      <c r="L122" s="256"/>
      <c r="M122" s="252"/>
    </row>
    <row r="123" spans="1:13" ht="25.5" x14ac:dyDescent="0.25">
      <c r="A123" s="307" t="s">
        <v>40</v>
      </c>
      <c r="B123" s="308" t="s">
        <v>18</v>
      </c>
      <c r="C123" s="547" t="s">
        <v>591</v>
      </c>
      <c r="D123" s="291"/>
      <c r="E123" s="291"/>
      <c r="F123" s="291"/>
      <c r="G123" s="291"/>
      <c r="H123" s="327">
        <f>H124+H135+H141+H142+H143+H146+H147</f>
        <v>197658.1</v>
      </c>
      <c r="I123" s="327">
        <f>I124+I135+I141+I142+I143+I146+I147</f>
        <v>168282.07562000002</v>
      </c>
      <c r="J123" s="301"/>
      <c r="K123" s="443"/>
      <c r="L123" s="233"/>
      <c r="M123" s="345">
        <f>I123/H123</f>
        <v>0.85137960761537224</v>
      </c>
    </row>
    <row r="124" spans="1:13" ht="51" x14ac:dyDescent="0.25">
      <c r="A124" s="23" t="s">
        <v>235</v>
      </c>
      <c r="B124" s="243" t="s">
        <v>19</v>
      </c>
      <c r="C124" s="548"/>
      <c r="D124" s="483" t="s">
        <v>385</v>
      </c>
      <c r="E124" s="483" t="s">
        <v>386</v>
      </c>
      <c r="F124" s="483"/>
      <c r="G124" s="483"/>
      <c r="H124" s="319">
        <f>8031.1+7771.1</f>
        <v>15802.2</v>
      </c>
      <c r="I124" s="42">
        <f>финансир!$M$117</f>
        <v>9585.8599999999988</v>
      </c>
      <c r="J124" s="438" t="s">
        <v>463</v>
      </c>
      <c r="K124" s="439" t="s">
        <v>464</v>
      </c>
      <c r="L124" s="233"/>
      <c r="M124" s="345">
        <f t="shared" ref="M124:M147" si="2">I124/H124</f>
        <v>0.60661553454582262</v>
      </c>
    </row>
    <row r="125" spans="1:13" ht="76.5" x14ac:dyDescent="0.25">
      <c r="A125" s="23" t="s">
        <v>252</v>
      </c>
      <c r="B125" s="243" t="s">
        <v>236</v>
      </c>
      <c r="C125" s="549"/>
      <c r="D125" s="483" t="s">
        <v>385</v>
      </c>
      <c r="E125" s="483" t="s">
        <v>386</v>
      </c>
      <c r="F125" s="483"/>
      <c r="G125" s="483"/>
      <c r="H125" s="319">
        <f>270.8+270.8</f>
        <v>541.6</v>
      </c>
      <c r="I125" s="42">
        <f>финансир!M118</f>
        <v>417.7</v>
      </c>
      <c r="J125" s="438" t="s">
        <v>378</v>
      </c>
      <c r="K125" s="439" t="s">
        <v>465</v>
      </c>
      <c r="L125" s="233"/>
      <c r="M125" s="345">
        <f t="shared" si="2"/>
        <v>0.77123338257016238</v>
      </c>
    </row>
    <row r="126" spans="1:13" ht="76.5" x14ac:dyDescent="0.25">
      <c r="A126" s="23" t="s">
        <v>253</v>
      </c>
      <c r="B126" s="243" t="s">
        <v>237</v>
      </c>
      <c r="C126" s="482" t="s">
        <v>307</v>
      </c>
      <c r="D126" s="483" t="s">
        <v>385</v>
      </c>
      <c r="E126" s="483" t="s">
        <v>386</v>
      </c>
      <c r="F126" s="483"/>
      <c r="G126" s="483"/>
      <c r="H126" s="319">
        <f>2*259.2</f>
        <v>518.4</v>
      </c>
      <c r="I126" s="42">
        <f>финансир!M119</f>
        <v>546</v>
      </c>
      <c r="J126" s="440" t="s">
        <v>379</v>
      </c>
      <c r="K126" s="439" t="s">
        <v>466</v>
      </c>
      <c r="L126" s="233"/>
      <c r="M126" s="345">
        <f t="shared" si="2"/>
        <v>1.0532407407407407</v>
      </c>
    </row>
    <row r="127" spans="1:13" ht="51" x14ac:dyDescent="0.25">
      <c r="A127" s="23" t="s">
        <v>254</v>
      </c>
      <c r="B127" s="243" t="s">
        <v>238</v>
      </c>
      <c r="C127" s="547" t="s">
        <v>308</v>
      </c>
      <c r="D127" s="483" t="s">
        <v>385</v>
      </c>
      <c r="E127" s="483" t="s">
        <v>386</v>
      </c>
      <c r="F127" s="483"/>
      <c r="G127" s="483"/>
      <c r="H127" s="319">
        <f>2*59.7</f>
        <v>119.4</v>
      </c>
      <c r="I127" s="42">
        <f>финансир!M120</f>
        <v>42.2</v>
      </c>
      <c r="J127" s="438" t="s">
        <v>422</v>
      </c>
      <c r="K127" s="439" t="s">
        <v>467</v>
      </c>
      <c r="L127" s="233"/>
      <c r="M127" s="345">
        <f t="shared" si="2"/>
        <v>0.35343383584589616</v>
      </c>
    </row>
    <row r="128" spans="1:13" ht="76.5" x14ac:dyDescent="0.25">
      <c r="A128" s="23" t="s">
        <v>255</v>
      </c>
      <c r="B128" s="243" t="s">
        <v>239</v>
      </c>
      <c r="C128" s="548"/>
      <c r="D128" s="483" t="s">
        <v>385</v>
      </c>
      <c r="E128" s="483" t="s">
        <v>386</v>
      </c>
      <c r="F128" s="483"/>
      <c r="G128" s="483"/>
      <c r="H128" s="319">
        <f>2*4000</f>
        <v>8000</v>
      </c>
      <c r="I128" s="42">
        <f>финансир!M121</f>
        <v>3552.5</v>
      </c>
      <c r="J128" s="438" t="s">
        <v>423</v>
      </c>
      <c r="K128" s="439" t="s">
        <v>468</v>
      </c>
      <c r="L128" s="233"/>
      <c r="M128" s="345">
        <f t="shared" si="2"/>
        <v>0.44406250000000003</v>
      </c>
    </row>
    <row r="129" spans="1:13" ht="89.25" x14ac:dyDescent="0.25">
      <c r="A129" s="23" t="s">
        <v>256</v>
      </c>
      <c r="B129" s="243" t="s">
        <v>240</v>
      </c>
      <c r="C129" s="549"/>
      <c r="D129" s="483" t="s">
        <v>385</v>
      </c>
      <c r="E129" s="483" t="s">
        <v>386</v>
      </c>
      <c r="F129" s="483"/>
      <c r="G129" s="483"/>
      <c r="H129" s="319">
        <f>2*272.5</f>
        <v>545</v>
      </c>
      <c r="I129" s="42">
        <f>финансир!M122</f>
        <v>158.9</v>
      </c>
      <c r="J129" s="438" t="s">
        <v>380</v>
      </c>
      <c r="K129" s="439" t="s">
        <v>469</v>
      </c>
      <c r="L129" s="233"/>
      <c r="M129" s="345">
        <f t="shared" si="2"/>
        <v>0.29155963302752297</v>
      </c>
    </row>
    <row r="130" spans="1:13" ht="51" x14ac:dyDescent="0.25">
      <c r="A130" s="23" t="s">
        <v>257</v>
      </c>
      <c r="B130" s="243" t="s">
        <v>241</v>
      </c>
      <c r="C130" s="482" t="s">
        <v>307</v>
      </c>
      <c r="D130" s="483" t="s">
        <v>385</v>
      </c>
      <c r="E130" s="483" t="s">
        <v>386</v>
      </c>
      <c r="F130" s="483"/>
      <c r="G130" s="483"/>
      <c r="H130" s="319">
        <f>2*691.7</f>
        <v>1383.4</v>
      </c>
      <c r="I130" s="42">
        <f>финансир!M123</f>
        <v>675.7</v>
      </c>
      <c r="J130" s="438" t="s">
        <v>470</v>
      </c>
      <c r="K130" s="439" t="s">
        <v>471</v>
      </c>
      <c r="L130" s="233"/>
      <c r="M130" s="345">
        <f t="shared" si="2"/>
        <v>0.48843429232326152</v>
      </c>
    </row>
    <row r="131" spans="1:13" ht="127.5" x14ac:dyDescent="0.25">
      <c r="A131" s="23" t="s">
        <v>258</v>
      </c>
      <c r="B131" s="243" t="s">
        <v>275</v>
      </c>
      <c r="C131" s="482" t="s">
        <v>304</v>
      </c>
      <c r="D131" s="483" t="s">
        <v>385</v>
      </c>
      <c r="E131" s="483" t="s">
        <v>386</v>
      </c>
      <c r="F131" s="483"/>
      <c r="G131" s="483"/>
      <c r="H131" s="319">
        <f>2*1474.2</f>
        <v>2948.4</v>
      </c>
      <c r="I131" s="42">
        <f>финансир!M124</f>
        <v>1584.2</v>
      </c>
      <c r="J131" s="438" t="s">
        <v>424</v>
      </c>
      <c r="K131" s="439" t="s">
        <v>472</v>
      </c>
      <c r="L131" s="233"/>
      <c r="M131" s="345">
        <f t="shared" si="2"/>
        <v>0.537308370641704</v>
      </c>
    </row>
    <row r="132" spans="1:13" ht="38.25" x14ac:dyDescent="0.25">
      <c r="A132" s="23" t="s">
        <v>259</v>
      </c>
      <c r="B132" s="243" t="s">
        <v>242</v>
      </c>
      <c r="C132" s="482"/>
      <c r="D132" s="483" t="s">
        <v>385</v>
      </c>
      <c r="E132" s="483" t="s">
        <v>386</v>
      </c>
      <c r="F132" s="233"/>
      <c r="G132" s="233"/>
      <c r="H132" s="319">
        <f>2*74.9</f>
        <v>149.80000000000001</v>
      </c>
      <c r="I132" s="42">
        <f>финансир!M125</f>
        <v>54.1</v>
      </c>
      <c r="J132" s="438" t="s">
        <v>425</v>
      </c>
      <c r="K132" s="439" t="s">
        <v>473</v>
      </c>
      <c r="L132" s="233"/>
      <c r="M132" s="345">
        <f t="shared" si="2"/>
        <v>0.36114819759679573</v>
      </c>
    </row>
    <row r="133" spans="1:13" ht="216.75" x14ac:dyDescent="0.25">
      <c r="A133" s="23" t="s">
        <v>260</v>
      </c>
      <c r="B133" s="243" t="s">
        <v>276</v>
      </c>
      <c r="C133" s="482" t="s">
        <v>306</v>
      </c>
      <c r="D133" s="483" t="s">
        <v>385</v>
      </c>
      <c r="E133" s="483" t="s">
        <v>386</v>
      </c>
      <c r="F133" s="233"/>
      <c r="G133" s="233"/>
      <c r="H133" s="319">
        <f>2*668.1</f>
        <v>1336.2</v>
      </c>
      <c r="I133" s="42">
        <f>финансир!M126</f>
        <v>2300.1</v>
      </c>
      <c r="J133" s="438" t="s">
        <v>426</v>
      </c>
      <c r="K133" s="439" t="s">
        <v>474</v>
      </c>
      <c r="L133" s="233"/>
      <c r="M133" s="345">
        <f t="shared" si="2"/>
        <v>1.7213740458015265</v>
      </c>
    </row>
    <row r="134" spans="1:13" ht="153" x14ac:dyDescent="0.25">
      <c r="A134" s="28" t="s">
        <v>261</v>
      </c>
      <c r="B134" s="243" t="s">
        <v>243</v>
      </c>
      <c r="C134" s="482" t="s">
        <v>305</v>
      </c>
      <c r="D134" s="483" t="s">
        <v>387</v>
      </c>
      <c r="E134" s="483" t="s">
        <v>388</v>
      </c>
      <c r="F134" s="233"/>
      <c r="G134" s="233"/>
      <c r="H134" s="319">
        <v>260</v>
      </c>
      <c r="I134" s="42">
        <f>финансир!M127</f>
        <v>254.46</v>
      </c>
      <c r="J134" s="438" t="s">
        <v>381</v>
      </c>
      <c r="K134" s="439" t="s">
        <v>475</v>
      </c>
      <c r="L134" s="233"/>
      <c r="M134" s="345">
        <f t="shared" si="2"/>
        <v>0.97869230769230775</v>
      </c>
    </row>
    <row r="135" spans="1:13" ht="51" x14ac:dyDescent="0.25">
      <c r="A135" s="28" t="s">
        <v>262</v>
      </c>
      <c r="B135" s="243" t="s">
        <v>244</v>
      </c>
      <c r="C135" s="547" t="s">
        <v>304</v>
      </c>
      <c r="D135" s="483" t="s">
        <v>385</v>
      </c>
      <c r="E135" s="483" t="s">
        <v>386</v>
      </c>
      <c r="F135" s="483"/>
      <c r="G135" s="483"/>
      <c r="H135" s="319">
        <f>3751.3+3164.4</f>
        <v>6915.7000000000007</v>
      </c>
      <c r="I135" s="42">
        <f>I136+I139+I140</f>
        <v>2658.1929499999997</v>
      </c>
      <c r="J135" s="441" t="s">
        <v>428</v>
      </c>
      <c r="K135" s="439" t="s">
        <v>476</v>
      </c>
      <c r="L135" s="233"/>
      <c r="M135" s="345">
        <f t="shared" si="2"/>
        <v>0.38437077230070699</v>
      </c>
    </row>
    <row r="136" spans="1:13" ht="89.25" x14ac:dyDescent="0.25">
      <c r="A136" s="28" t="s">
        <v>263</v>
      </c>
      <c r="B136" s="243" t="s">
        <v>277</v>
      </c>
      <c r="C136" s="548"/>
      <c r="D136" s="483" t="s">
        <v>385</v>
      </c>
      <c r="E136" s="483" t="s">
        <v>386</v>
      </c>
      <c r="F136" s="233"/>
      <c r="G136" s="233"/>
      <c r="H136" s="319">
        <f>2*154.5</f>
        <v>309</v>
      </c>
      <c r="I136" s="42">
        <f>финансир!L129+финансир!M129</f>
        <v>108.81195</v>
      </c>
      <c r="J136" s="441"/>
      <c r="K136" s="439"/>
      <c r="L136" s="233"/>
      <c r="M136" s="345">
        <f t="shared" si="2"/>
        <v>0.35214223300970871</v>
      </c>
    </row>
    <row r="137" spans="1:13" ht="127.5" x14ac:dyDescent="0.25">
      <c r="A137" s="28" t="s">
        <v>264</v>
      </c>
      <c r="B137" s="243" t="s">
        <v>278</v>
      </c>
      <c r="C137" s="548"/>
      <c r="D137" s="483" t="s">
        <v>385</v>
      </c>
      <c r="E137" s="483" t="s">
        <v>386</v>
      </c>
      <c r="F137" s="233"/>
      <c r="G137" s="233"/>
      <c r="H137" s="319">
        <f>185.4+154.5</f>
        <v>339.9</v>
      </c>
      <c r="I137" s="42">
        <f>финансир!L130+финансир!M130</f>
        <v>108.81195</v>
      </c>
      <c r="J137" s="438" t="s">
        <v>427</v>
      </c>
      <c r="K137" s="439" t="s">
        <v>477</v>
      </c>
      <c r="L137" s="233"/>
      <c r="M137" s="345">
        <f t="shared" si="2"/>
        <v>0.32012930273609885</v>
      </c>
    </row>
    <row r="138" spans="1:13" ht="140.25" x14ac:dyDescent="0.25">
      <c r="A138" s="28" t="s">
        <v>265</v>
      </c>
      <c r="B138" s="243" t="s">
        <v>279</v>
      </c>
      <c r="C138" s="548"/>
      <c r="D138" s="316">
        <v>0</v>
      </c>
      <c r="E138" s="316">
        <v>0</v>
      </c>
      <c r="F138" s="233"/>
      <c r="G138" s="233"/>
      <c r="H138" s="319">
        <v>0</v>
      </c>
      <c r="I138" s="42">
        <f>финансир!L131+финансир!M131</f>
        <v>0</v>
      </c>
      <c r="J138" s="336"/>
      <c r="K138" s="442"/>
      <c r="L138" s="233"/>
      <c r="M138" s="345" t="e">
        <f t="shared" si="2"/>
        <v>#DIV/0!</v>
      </c>
    </row>
    <row r="139" spans="1:13" ht="76.5" x14ac:dyDescent="0.25">
      <c r="A139" s="28" t="s">
        <v>266</v>
      </c>
      <c r="B139" s="244" t="s">
        <v>245</v>
      </c>
      <c r="C139" s="548"/>
      <c r="D139" s="483" t="s">
        <v>385</v>
      </c>
      <c r="E139" s="483" t="s">
        <v>386</v>
      </c>
      <c r="F139" s="233"/>
      <c r="G139" s="233"/>
      <c r="H139" s="319">
        <f>2*75</f>
        <v>150</v>
      </c>
      <c r="I139" s="42">
        <f>финансир!L132+финансир!M132</f>
        <v>66</v>
      </c>
      <c r="J139" s="438" t="s">
        <v>478</v>
      </c>
      <c r="K139" s="443" t="s">
        <v>479</v>
      </c>
      <c r="L139" s="233"/>
      <c r="M139" s="345">
        <f t="shared" si="2"/>
        <v>0.44</v>
      </c>
    </row>
    <row r="140" spans="1:13" ht="38.25" x14ac:dyDescent="0.25">
      <c r="A140" s="28" t="s">
        <v>267</v>
      </c>
      <c r="B140" s="243" t="s">
        <v>246</v>
      </c>
      <c r="C140" s="549"/>
      <c r="D140" s="483" t="s">
        <v>385</v>
      </c>
      <c r="E140" s="483" t="s">
        <v>386</v>
      </c>
      <c r="F140" s="233"/>
      <c r="G140" s="233"/>
      <c r="H140" s="319">
        <f>3521.8+2934.9</f>
        <v>6456.7000000000007</v>
      </c>
      <c r="I140" s="42">
        <f>финансир!L133+финансир!M133</f>
        <v>2483.3809999999999</v>
      </c>
      <c r="J140" s="438" t="s">
        <v>428</v>
      </c>
      <c r="K140" s="444" t="s">
        <v>480</v>
      </c>
      <c r="L140" s="233"/>
      <c r="M140" s="345">
        <f t="shared" si="2"/>
        <v>0.38462078151377632</v>
      </c>
    </row>
    <row r="141" spans="1:13" ht="63.75" x14ac:dyDescent="0.25">
      <c r="A141" s="28" t="s">
        <v>268</v>
      </c>
      <c r="B141" s="243" t="s">
        <v>247</v>
      </c>
      <c r="C141" s="547" t="s">
        <v>303</v>
      </c>
      <c r="D141" s="316">
        <v>0</v>
      </c>
      <c r="E141" s="316">
        <v>0</v>
      </c>
      <c r="F141" s="269"/>
      <c r="G141" s="269"/>
      <c r="H141" s="319">
        <v>0</v>
      </c>
      <c r="I141" s="42">
        <f>финансир!L134+финансир!M134</f>
        <v>0</v>
      </c>
      <c r="J141" s="336"/>
      <c r="K141" s="442"/>
      <c r="L141" s="233"/>
      <c r="M141" s="345" t="e">
        <f t="shared" si="2"/>
        <v>#DIV/0!</v>
      </c>
    </row>
    <row r="142" spans="1:13" ht="63.75" x14ac:dyDescent="0.25">
      <c r="A142" s="28" t="s">
        <v>269</v>
      </c>
      <c r="B142" s="243" t="s">
        <v>280</v>
      </c>
      <c r="C142" s="549"/>
      <c r="D142" s="483" t="s">
        <v>385</v>
      </c>
      <c r="E142" s="483" t="s">
        <v>386</v>
      </c>
      <c r="F142" s="233"/>
      <c r="G142" s="233"/>
      <c r="H142" s="319">
        <f>2*882.8</f>
        <v>1765.6</v>
      </c>
      <c r="I142" s="42">
        <f>финансир!L135+финансир!M135</f>
        <v>1042.183</v>
      </c>
      <c r="J142" s="438" t="s">
        <v>429</v>
      </c>
      <c r="K142" s="439" t="s">
        <v>481</v>
      </c>
      <c r="L142" s="233"/>
      <c r="M142" s="345">
        <f t="shared" si="2"/>
        <v>0.59027129587675575</v>
      </c>
    </row>
    <row r="143" spans="1:13" x14ac:dyDescent="0.25">
      <c r="A143" s="28" t="s">
        <v>270</v>
      </c>
      <c r="B143" s="243" t="s">
        <v>248</v>
      </c>
      <c r="C143" s="507" t="s">
        <v>297</v>
      </c>
      <c r="D143" s="269" t="s">
        <v>387</v>
      </c>
      <c r="E143" s="269" t="s">
        <v>387</v>
      </c>
      <c r="F143" s="269"/>
      <c r="G143" s="269"/>
      <c r="H143" s="319">
        <v>150</v>
      </c>
      <c r="I143" s="42">
        <f>финансир!L136+финансир!M136</f>
        <v>21.75</v>
      </c>
      <c r="J143" s="336"/>
      <c r="K143" s="442"/>
      <c r="L143" s="233"/>
      <c r="M143" s="345">
        <f t="shared" si="2"/>
        <v>0.14499999999999999</v>
      </c>
    </row>
    <row r="144" spans="1:13" ht="127.5" x14ac:dyDescent="0.25">
      <c r="A144" s="28" t="s">
        <v>271</v>
      </c>
      <c r="B144" s="243" t="s">
        <v>249</v>
      </c>
      <c r="C144" s="557"/>
      <c r="D144" s="269" t="s">
        <v>387</v>
      </c>
      <c r="E144" s="269" t="s">
        <v>387</v>
      </c>
      <c r="F144" s="269"/>
      <c r="G144" s="269"/>
      <c r="H144" s="319">
        <v>50</v>
      </c>
      <c r="I144" s="42">
        <f>финансир!L137+финансир!M137</f>
        <v>21.75</v>
      </c>
      <c r="J144" s="438" t="s">
        <v>430</v>
      </c>
      <c r="K144" s="439" t="s">
        <v>482</v>
      </c>
      <c r="L144" s="233"/>
      <c r="M144" s="345">
        <f t="shared" si="2"/>
        <v>0.435</v>
      </c>
    </row>
    <row r="145" spans="1:13" ht="53.25" customHeight="1" x14ac:dyDescent="0.25">
      <c r="A145" s="28" t="s">
        <v>272</v>
      </c>
      <c r="B145" s="243" t="s">
        <v>250</v>
      </c>
      <c r="C145" s="508"/>
      <c r="D145" s="269" t="s">
        <v>387</v>
      </c>
      <c r="E145" s="269" t="s">
        <v>387</v>
      </c>
      <c r="F145" s="269"/>
      <c r="G145" s="269"/>
      <c r="H145" s="319">
        <v>100</v>
      </c>
      <c r="I145" s="42">
        <f>финансир!L138+финансир!M138</f>
        <v>0</v>
      </c>
      <c r="J145" s="333" t="s">
        <v>382</v>
      </c>
      <c r="K145" s="442"/>
      <c r="L145" s="233"/>
      <c r="M145" s="345">
        <f t="shared" si="2"/>
        <v>0</v>
      </c>
    </row>
    <row r="146" spans="1:13" ht="76.5" x14ac:dyDescent="0.25">
      <c r="A146" s="28" t="s">
        <v>273</v>
      </c>
      <c r="B146" s="243" t="s">
        <v>251</v>
      </c>
      <c r="C146" s="314"/>
      <c r="D146" s="483" t="s">
        <v>385</v>
      </c>
      <c r="E146" s="483" t="s">
        <v>386</v>
      </c>
      <c r="F146" s="483"/>
      <c r="G146" s="483"/>
      <c r="H146" s="319">
        <f>2*34239.4</f>
        <v>68478.8</v>
      </c>
      <c r="I146" s="42">
        <f>финансир!L140+финансир!M140</f>
        <v>64168.845000000001</v>
      </c>
      <c r="J146" s="333" t="s">
        <v>483</v>
      </c>
      <c r="K146" s="443"/>
      <c r="L146" s="233"/>
      <c r="M146" s="345">
        <f t="shared" si="2"/>
        <v>0.93706147011921936</v>
      </c>
    </row>
    <row r="147" spans="1:13" ht="140.25" x14ac:dyDescent="0.25">
      <c r="A147" s="28" t="s">
        <v>274</v>
      </c>
      <c r="B147" s="243" t="s">
        <v>315</v>
      </c>
      <c r="C147" s="314"/>
      <c r="D147" s="483" t="s">
        <v>385</v>
      </c>
      <c r="E147" s="483" t="s">
        <v>386</v>
      </c>
      <c r="F147" s="483"/>
      <c r="G147" s="483"/>
      <c r="H147" s="319">
        <f>2*52272.9</f>
        <v>104545.8</v>
      </c>
      <c r="I147" s="42">
        <f>финансир!L141+финансир!M141</f>
        <v>90805.24467</v>
      </c>
      <c r="J147" s="438" t="s">
        <v>383</v>
      </c>
      <c r="K147" s="439" t="s">
        <v>484</v>
      </c>
      <c r="L147" s="244"/>
      <c r="M147" s="345">
        <f t="shared" si="2"/>
        <v>0.86856903548492626</v>
      </c>
    </row>
    <row r="148" spans="1:13" x14ac:dyDescent="0.25">
      <c r="A148" s="552" t="s">
        <v>334</v>
      </c>
      <c r="B148" s="553"/>
      <c r="C148" s="267"/>
      <c r="D148" s="268"/>
      <c r="E148" s="249"/>
      <c r="F148" s="263"/>
      <c r="G148" s="264"/>
      <c r="H148" s="264"/>
      <c r="I148" s="264"/>
      <c r="J148" s="336"/>
      <c r="K148" s="250"/>
      <c r="L148" s="250"/>
      <c r="M148" s="252"/>
    </row>
    <row r="149" spans="1:13" ht="153.75" x14ac:dyDescent="0.25">
      <c r="A149" s="49"/>
      <c r="B149" s="243" t="s">
        <v>335</v>
      </c>
      <c r="C149" s="267"/>
      <c r="D149" s="259"/>
      <c r="E149" s="457"/>
      <c r="F149" s="271"/>
      <c r="G149" s="272"/>
      <c r="H149" s="272"/>
      <c r="I149" s="272"/>
      <c r="J149" s="445">
        <v>0.59</v>
      </c>
      <c r="K149" s="448">
        <v>0.55000000000000004</v>
      </c>
      <c r="L149" s="389" t="s">
        <v>444</v>
      </c>
      <c r="M149" s="252"/>
    </row>
    <row r="150" spans="1:13" ht="165.75" x14ac:dyDescent="0.25">
      <c r="A150" s="49"/>
      <c r="B150" s="243" t="s">
        <v>336</v>
      </c>
      <c r="C150" s="267"/>
      <c r="D150" s="259"/>
      <c r="E150" s="457"/>
      <c r="F150" s="271"/>
      <c r="G150" s="272"/>
      <c r="H150" s="272"/>
      <c r="I150" s="272"/>
      <c r="J150" s="342">
        <v>0.15</v>
      </c>
      <c r="K150" s="446">
        <v>0.14000000000000001</v>
      </c>
      <c r="L150" s="29" t="s">
        <v>448</v>
      </c>
      <c r="M150" s="252"/>
    </row>
    <row r="151" spans="1:13" ht="127.5" x14ac:dyDescent="0.25">
      <c r="A151" s="49"/>
      <c r="B151" s="243" t="s">
        <v>294</v>
      </c>
      <c r="C151" s="267"/>
      <c r="D151" s="259"/>
      <c r="E151" s="457"/>
      <c r="F151" s="273"/>
      <c r="G151" s="274"/>
      <c r="H151" s="274"/>
      <c r="I151" s="274"/>
      <c r="J151" s="447">
        <v>2689</v>
      </c>
      <c r="K151" s="448">
        <v>3926</v>
      </c>
      <c r="L151" s="243" t="s">
        <v>547</v>
      </c>
      <c r="M151" s="252"/>
    </row>
    <row r="152" spans="1:13" ht="153.75" x14ac:dyDescent="0.25">
      <c r="A152" s="49"/>
      <c r="B152" s="430" t="s">
        <v>445</v>
      </c>
      <c r="C152" s="267"/>
      <c r="D152" s="259"/>
      <c r="E152" s="457"/>
      <c r="F152" s="271"/>
      <c r="G152" s="272"/>
      <c r="H152" s="272"/>
      <c r="I152" s="272"/>
      <c r="J152" s="343">
        <v>19925</v>
      </c>
      <c r="K152" s="448">
        <v>23375</v>
      </c>
      <c r="L152" s="433" t="s">
        <v>446</v>
      </c>
      <c r="M152" s="252"/>
    </row>
    <row r="153" spans="1:13" ht="165.75" x14ac:dyDescent="0.25">
      <c r="A153" s="49"/>
      <c r="B153" s="243" t="s">
        <v>450</v>
      </c>
      <c r="C153" s="267"/>
      <c r="D153" s="259"/>
      <c r="E153" s="457"/>
      <c r="F153" s="271"/>
      <c r="G153" s="272"/>
      <c r="H153" s="272"/>
      <c r="I153" s="272"/>
      <c r="J153" s="343">
        <v>141</v>
      </c>
      <c r="K153" s="448">
        <v>85</v>
      </c>
      <c r="L153" s="427" t="s">
        <v>451</v>
      </c>
      <c r="M153" s="252"/>
    </row>
    <row r="154" spans="1:13" ht="165.75" x14ac:dyDescent="0.25">
      <c r="A154" s="49"/>
      <c r="B154" s="243" t="s">
        <v>452</v>
      </c>
      <c r="C154" s="267"/>
      <c r="D154" s="259"/>
      <c r="E154" s="457"/>
      <c r="F154" s="271"/>
      <c r="G154" s="272"/>
      <c r="H154" s="272"/>
      <c r="I154" s="272"/>
      <c r="J154" s="343">
        <v>4250</v>
      </c>
      <c r="K154" s="448">
        <v>7446</v>
      </c>
      <c r="L154" s="243" t="s">
        <v>453</v>
      </c>
      <c r="M154" s="252"/>
    </row>
    <row r="155" spans="1:13" ht="51" x14ac:dyDescent="0.25">
      <c r="A155" s="49"/>
      <c r="B155" s="243" t="s">
        <v>454</v>
      </c>
      <c r="C155" s="267"/>
      <c r="D155" s="259"/>
      <c r="E155" s="457"/>
      <c r="F155" s="271"/>
      <c r="G155" s="272"/>
      <c r="H155" s="272"/>
      <c r="I155" s="272"/>
      <c r="J155" s="451">
        <v>0</v>
      </c>
      <c r="K155" s="451">
        <v>0</v>
      </c>
      <c r="L155" s="243" t="s">
        <v>455</v>
      </c>
      <c r="M155" s="252"/>
    </row>
    <row r="156" spans="1:13" ht="127.5" x14ac:dyDescent="0.25">
      <c r="A156" s="49"/>
      <c r="B156" s="243" t="s">
        <v>456</v>
      </c>
      <c r="C156" s="267"/>
      <c r="D156" s="259"/>
      <c r="E156" s="457"/>
      <c r="F156" s="271"/>
      <c r="G156" s="272"/>
      <c r="H156" s="272"/>
      <c r="I156" s="272"/>
      <c r="J156" s="451">
        <v>0</v>
      </c>
      <c r="K156" s="451">
        <v>0</v>
      </c>
      <c r="L156" s="243" t="s">
        <v>457</v>
      </c>
      <c r="M156" s="252"/>
    </row>
    <row r="157" spans="1:13" ht="127.5" x14ac:dyDescent="0.25">
      <c r="A157" s="49"/>
      <c r="B157" s="430" t="s">
        <v>458</v>
      </c>
      <c r="C157" s="267"/>
      <c r="D157" s="259"/>
      <c r="E157" s="457"/>
      <c r="F157" s="273"/>
      <c r="G157" s="274"/>
      <c r="H157" s="274"/>
      <c r="I157" s="274"/>
      <c r="J157" s="451">
        <v>0</v>
      </c>
      <c r="K157" s="451">
        <v>0</v>
      </c>
      <c r="L157" s="243" t="s">
        <v>457</v>
      </c>
      <c r="M157" s="252"/>
    </row>
    <row r="158" spans="1:13" ht="51.75" x14ac:dyDescent="0.25">
      <c r="A158" s="309" t="s">
        <v>41</v>
      </c>
      <c r="B158" s="310" t="s">
        <v>20</v>
      </c>
      <c r="C158" s="547" t="s">
        <v>298</v>
      </c>
      <c r="D158" s="311"/>
      <c r="E158" s="311"/>
      <c r="F158" s="311"/>
      <c r="G158" s="311"/>
      <c r="H158" s="324">
        <f>H159+H160</f>
        <v>313.2</v>
      </c>
      <c r="I158" s="324">
        <f>I159+I160</f>
        <v>206.976</v>
      </c>
      <c r="J158" s="326"/>
      <c r="K158" s="312"/>
      <c r="L158" s="294"/>
      <c r="M158" s="345">
        <f>I158/H158</f>
        <v>0.66084291187739463</v>
      </c>
    </row>
    <row r="159" spans="1:13" ht="51" x14ac:dyDescent="0.25">
      <c r="A159" s="40" t="s">
        <v>42</v>
      </c>
      <c r="B159" s="41" t="s">
        <v>208</v>
      </c>
      <c r="C159" s="548"/>
      <c r="D159" s="483" t="s">
        <v>385</v>
      </c>
      <c r="E159" s="483" t="s">
        <v>386</v>
      </c>
      <c r="F159" s="233"/>
      <c r="G159" s="233"/>
      <c r="H159" s="319">
        <f>2*109.6</f>
        <v>219.2</v>
      </c>
      <c r="I159" s="42">
        <f>финансир!L144+финансир!M144</f>
        <v>206.976</v>
      </c>
      <c r="J159" s="338" t="s">
        <v>485</v>
      </c>
      <c r="K159" s="442" t="s">
        <v>486</v>
      </c>
      <c r="L159" s="233"/>
      <c r="M159" s="345">
        <f t="shared" ref="M159:M165" si="3">I159/H159</f>
        <v>0.94423357664233576</v>
      </c>
    </row>
    <row r="160" spans="1:13" ht="76.5" x14ac:dyDescent="0.25">
      <c r="A160" s="40" t="s">
        <v>209</v>
      </c>
      <c r="B160" s="41" t="s">
        <v>210</v>
      </c>
      <c r="C160" s="548"/>
      <c r="D160" s="483" t="s">
        <v>385</v>
      </c>
      <c r="E160" s="483" t="s">
        <v>386</v>
      </c>
      <c r="F160" s="233"/>
      <c r="G160" s="233"/>
      <c r="H160" s="319">
        <f>2*47</f>
        <v>94</v>
      </c>
      <c r="I160" s="42">
        <f>финансир!L146+финансир!M146</f>
        <v>0</v>
      </c>
      <c r="J160" s="333" t="s">
        <v>384</v>
      </c>
      <c r="K160" s="245" t="s">
        <v>487</v>
      </c>
      <c r="L160" s="233"/>
      <c r="M160" s="345">
        <f t="shared" si="3"/>
        <v>0</v>
      </c>
    </row>
    <row r="161" spans="1:13" x14ac:dyDescent="0.25">
      <c r="A161" s="552" t="s">
        <v>337</v>
      </c>
      <c r="B161" s="553"/>
      <c r="C161" s="548"/>
      <c r="D161" s="268"/>
      <c r="E161" s="275"/>
      <c r="F161" s="276"/>
      <c r="G161" s="276"/>
      <c r="H161" s="277"/>
      <c r="I161" s="276"/>
      <c r="J161" s="339"/>
      <c r="K161" s="380"/>
      <c r="L161" s="278"/>
      <c r="M161" s="345" t="e">
        <f t="shared" si="3"/>
        <v>#DIV/0!</v>
      </c>
    </row>
    <row r="162" spans="1:13" ht="51" x14ac:dyDescent="0.25">
      <c r="A162" s="49"/>
      <c r="B162" s="449" t="s">
        <v>459</v>
      </c>
      <c r="C162" s="548"/>
      <c r="D162" s="259"/>
      <c r="E162" s="11"/>
      <c r="F162" s="271"/>
      <c r="G162" s="272"/>
      <c r="H162" s="272"/>
      <c r="I162" s="272"/>
      <c r="J162" s="452">
        <v>12.5</v>
      </c>
      <c r="K162" s="448">
        <v>45.7</v>
      </c>
      <c r="L162" s="265"/>
      <c r="M162" s="345" t="e">
        <f t="shared" si="3"/>
        <v>#DIV/0!</v>
      </c>
    </row>
    <row r="163" spans="1:13" ht="51" x14ac:dyDescent="0.25">
      <c r="A163" s="49"/>
      <c r="B163" s="48" t="s">
        <v>460</v>
      </c>
      <c r="C163" s="548"/>
      <c r="D163" s="259"/>
      <c r="E163" s="11"/>
      <c r="F163" s="279"/>
      <c r="G163" s="279"/>
      <c r="H163" s="279"/>
      <c r="I163" s="279"/>
      <c r="J163" s="450">
        <v>0</v>
      </c>
      <c r="K163" s="451">
        <v>0</v>
      </c>
      <c r="L163" s="265"/>
      <c r="M163" s="345" t="e">
        <f t="shared" si="3"/>
        <v>#DIV/0!</v>
      </c>
    </row>
    <row r="164" spans="1:13" ht="51" x14ac:dyDescent="0.25">
      <c r="A164" s="49"/>
      <c r="B164" s="48" t="s">
        <v>461</v>
      </c>
      <c r="C164" s="549"/>
      <c r="D164" s="259"/>
      <c r="E164" s="11"/>
      <c r="F164" s="279"/>
      <c r="G164" s="279"/>
      <c r="H164" s="279"/>
      <c r="I164" s="279"/>
      <c r="J164" s="319">
        <v>3.75</v>
      </c>
      <c r="K164" s="453">
        <v>8.85</v>
      </c>
      <c r="L164" s="265"/>
      <c r="M164" s="345" t="e">
        <f t="shared" si="3"/>
        <v>#DIV/0!</v>
      </c>
    </row>
    <row r="165" spans="1:13" ht="29.25" x14ac:dyDescent="0.25">
      <c r="A165" s="320" t="s">
        <v>291</v>
      </c>
      <c r="B165" s="321" t="s">
        <v>287</v>
      </c>
      <c r="C165" s="322"/>
      <c r="D165" s="323"/>
      <c r="E165" s="323"/>
      <c r="F165" s="323"/>
      <c r="G165" s="323"/>
      <c r="H165" s="324">
        <f>SUM(H166:H168)</f>
        <v>141932.20000000001</v>
      </c>
      <c r="I165" s="324">
        <f>SUM(I166:I168)</f>
        <v>107155.90393999999</v>
      </c>
      <c r="J165" s="325"/>
      <c r="K165" s="301"/>
      <c r="L165" s="323"/>
      <c r="M165" s="345">
        <f t="shared" si="3"/>
        <v>0.75497951796702922</v>
      </c>
    </row>
    <row r="166" spans="1:13" ht="63.75" x14ac:dyDescent="0.25">
      <c r="A166" s="280" t="s">
        <v>281</v>
      </c>
      <c r="B166" s="281" t="s">
        <v>282</v>
      </c>
      <c r="C166" s="314"/>
      <c r="D166" s="483" t="s">
        <v>385</v>
      </c>
      <c r="E166" s="483" t="s">
        <v>386</v>
      </c>
      <c r="F166" s="233"/>
      <c r="G166" s="233"/>
      <c r="H166" s="316">
        <f>2*70341.1</f>
        <v>140682.20000000001</v>
      </c>
      <c r="I166" s="42">
        <f>финансир!L149+финансир!M149</f>
        <v>106672.28393999999</v>
      </c>
      <c r="J166" s="333" t="s">
        <v>282</v>
      </c>
      <c r="K166" s="245" t="s">
        <v>542</v>
      </c>
      <c r="L166" s="233"/>
      <c r="M166" s="345">
        <f>I166/H166</f>
        <v>0.75825004115659256</v>
      </c>
    </row>
    <row r="167" spans="1:13" ht="63.75" x14ac:dyDescent="0.25">
      <c r="A167" s="280" t="s">
        <v>283</v>
      </c>
      <c r="B167" s="281" t="s">
        <v>284</v>
      </c>
      <c r="C167" s="314"/>
      <c r="D167" s="269" t="s">
        <v>387</v>
      </c>
      <c r="E167" s="269" t="s">
        <v>388</v>
      </c>
      <c r="F167" s="233"/>
      <c r="G167" s="233"/>
      <c r="H167" s="316">
        <v>0</v>
      </c>
      <c r="J167" s="333"/>
      <c r="K167" s="245"/>
      <c r="L167" s="233"/>
    </row>
    <row r="168" spans="1:13" ht="229.5" x14ac:dyDescent="0.25">
      <c r="A168" s="280" t="s">
        <v>285</v>
      </c>
      <c r="B168" s="281" t="s">
        <v>286</v>
      </c>
      <c r="C168" s="314"/>
      <c r="D168" s="483" t="s">
        <v>385</v>
      </c>
      <c r="E168" s="483" t="s">
        <v>386</v>
      </c>
      <c r="F168" s="233"/>
      <c r="G168" s="233"/>
      <c r="H168" s="316">
        <v>1250</v>
      </c>
      <c r="I168" s="42">
        <v>483.62</v>
      </c>
      <c r="J168" s="333" t="s">
        <v>431</v>
      </c>
      <c r="K168" s="245" t="s">
        <v>541</v>
      </c>
      <c r="L168" s="233"/>
      <c r="M168" s="345">
        <f>I160/H160</f>
        <v>0</v>
      </c>
    </row>
    <row r="169" spans="1:13" x14ac:dyDescent="0.25">
      <c r="A169" s="552" t="s">
        <v>338</v>
      </c>
      <c r="B169" s="553"/>
      <c r="C169" s="282"/>
      <c r="D169" s="283"/>
      <c r="E169" s="275"/>
      <c r="F169" s="276"/>
      <c r="G169" s="276"/>
      <c r="H169" s="277"/>
      <c r="I169" s="276"/>
      <c r="J169" s="340"/>
      <c r="K169" s="278"/>
      <c r="L169" s="278"/>
    </row>
    <row r="170" spans="1:13" ht="89.25" x14ac:dyDescent="0.25">
      <c r="A170" s="49"/>
      <c r="B170" s="48" t="s">
        <v>339</v>
      </c>
      <c r="C170" s="282"/>
      <c r="D170" s="284"/>
      <c r="E170" s="262"/>
      <c r="F170" s="285"/>
      <c r="G170" s="285"/>
      <c r="H170" s="286"/>
      <c r="I170" s="285"/>
      <c r="J170" s="344">
        <v>25</v>
      </c>
      <c r="K170" s="330">
        <v>95</v>
      </c>
      <c r="L170" s="48" t="s">
        <v>595</v>
      </c>
    </row>
    <row r="171" spans="1:13" ht="102" x14ac:dyDescent="0.25">
      <c r="A171" s="49"/>
      <c r="B171" s="48" t="s">
        <v>592</v>
      </c>
      <c r="C171" s="282"/>
      <c r="D171" s="284"/>
      <c r="E171" s="262"/>
      <c r="F171" s="285"/>
      <c r="G171" s="285"/>
      <c r="H171" s="286"/>
      <c r="I171" s="285"/>
      <c r="J171" s="344">
        <v>4</v>
      </c>
      <c r="K171" s="330">
        <v>16</v>
      </c>
      <c r="L171" s="386" t="s">
        <v>543</v>
      </c>
    </row>
    <row r="172" spans="1:13" x14ac:dyDescent="0.25">
      <c r="A172" s="287"/>
      <c r="B172" s="281" t="s">
        <v>300</v>
      </c>
      <c r="C172" s="314"/>
      <c r="D172" s="233"/>
      <c r="E172" s="233"/>
      <c r="F172" s="233"/>
      <c r="G172" s="233"/>
      <c r="H172" s="288">
        <f>H165+H151+H123+H94+H61+H5+H158</f>
        <v>5264471.4000000004</v>
      </c>
      <c r="I172" s="288">
        <f>I165+I151+I123+I94+I61+I5+I158</f>
        <v>5072866.8973399997</v>
      </c>
      <c r="J172" s="245"/>
      <c r="K172" s="245"/>
      <c r="L172" s="233"/>
    </row>
  </sheetData>
  <mergeCells count="30">
    <mergeCell ref="A148:B148"/>
    <mergeCell ref="C158:C164"/>
    <mergeCell ref="A161:B161"/>
    <mergeCell ref="A169:B169"/>
    <mergeCell ref="A119:B119"/>
    <mergeCell ref="C123:C125"/>
    <mergeCell ref="C127:C129"/>
    <mergeCell ref="C135:C140"/>
    <mergeCell ref="C141:C142"/>
    <mergeCell ref="C143:C145"/>
    <mergeCell ref="C94:C118"/>
    <mergeCell ref="C5:C27"/>
    <mergeCell ref="A28:A29"/>
    <mergeCell ref="B28:B29"/>
    <mergeCell ref="F28:F29"/>
    <mergeCell ref="C30:C55"/>
    <mergeCell ref="A56:B56"/>
    <mergeCell ref="C63:C70"/>
    <mergeCell ref="C72:C88"/>
    <mergeCell ref="A90:B90"/>
    <mergeCell ref="G28:G29"/>
    <mergeCell ref="J28:J29"/>
    <mergeCell ref="A1:K1"/>
    <mergeCell ref="A2:A3"/>
    <mergeCell ref="B2:B3"/>
    <mergeCell ref="C2:C3"/>
    <mergeCell ref="D2:E2"/>
    <mergeCell ref="F2:G2"/>
    <mergeCell ref="H2:I2"/>
    <mergeCell ref="J2:K2"/>
  </mergeCells>
  <hyperlinks>
    <hyperlink ref="B31" location="_ftnref1" display="_ftnref1"/>
  </hyperlink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финансир</vt:lpstr>
      <vt:lpstr>Целевые индикаторы </vt:lpstr>
      <vt:lpstr>план-график</vt:lpstr>
      <vt:lpstr>финансир!_ftn1</vt:lpstr>
      <vt:lpstr>финансир!_ftn2</vt:lpstr>
      <vt:lpstr>финансир!_ftn3</vt:lpstr>
      <vt:lpstr>финансир!_ftn4</vt:lpstr>
      <vt:lpstr>финансир!_ftnref1</vt:lpstr>
      <vt:lpstr>финансир!_ftnref2</vt:lpstr>
      <vt:lpstr>финансир!_ftnref3</vt:lpstr>
      <vt:lpstr>финансир!_ftnref4</vt:lpstr>
      <vt:lpstr>финансир!Заголовки_для_печати</vt:lpstr>
      <vt:lpstr>'план-график'!Область_печати</vt:lpstr>
      <vt:lpstr>финансир!Область_печати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2015-07-27T12:20:44Z</dcterms:modified>
</cp:coreProperties>
</file>