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0" windowWidth="19440" windowHeight="8130" activeTab="2"/>
  </bookViews>
  <sheets>
    <sheet name="финансир" sheetId="1" r:id="rId1"/>
    <sheet name="Целевые индикаторы " sheetId="7" r:id="rId2"/>
    <sheet name="план-график" sheetId="10" r:id="rId3"/>
  </sheets>
  <definedNames>
    <definedName name="_ftn1" localSheetId="0">финансир!$A$18</definedName>
    <definedName name="_ftn2" localSheetId="0">финансир!$A$20</definedName>
    <definedName name="_ftn3" localSheetId="0">финансир!$A$21</definedName>
    <definedName name="_ftn4" localSheetId="0">финансир!$A$22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2">'план-график'!$A$1:$L$174</definedName>
    <definedName name="_xlnm.Print_Area" localSheetId="0">финансир!$A$1:$P$157</definedName>
    <definedName name="_xlnm.Print_Area" localSheetId="1">'Целевые индикаторы '!$A$1:$G$158</definedName>
  </definedNames>
  <calcPr calcId="145621"/>
</workbook>
</file>

<file path=xl/calcChain.xml><?xml version="1.0" encoding="utf-8"?>
<calcChain xmlns="http://schemas.openxmlformats.org/spreadsheetml/2006/main">
  <c r="M166" i="10" l="1"/>
  <c r="R121" i="1" l="1"/>
  <c r="M120" i="1"/>
  <c r="M126" i="1" s="1"/>
  <c r="R126" i="1" s="1"/>
  <c r="M122" i="1" l="1"/>
  <c r="R122" i="1" s="1"/>
  <c r="M130" i="1"/>
  <c r="R130" i="1" s="1"/>
  <c r="M123" i="1"/>
  <c r="R123" i="1" s="1"/>
  <c r="M127" i="1"/>
  <c r="R127" i="1" s="1"/>
  <c r="M124" i="1"/>
  <c r="R124" i="1" s="1"/>
  <c r="M128" i="1"/>
  <c r="R128" i="1" s="1"/>
  <c r="M125" i="1"/>
  <c r="R125" i="1" s="1"/>
  <c r="M129" i="1"/>
  <c r="R129" i="1" s="1"/>
  <c r="H168" i="10"/>
  <c r="H162" i="10"/>
  <c r="H161" i="10"/>
  <c r="H149" i="10"/>
  <c r="H148" i="10"/>
  <c r="H144" i="10"/>
  <c r="H142" i="10"/>
  <c r="H141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4" i="10"/>
  <c r="H123" i="10"/>
  <c r="H122" i="10"/>
  <c r="H114" i="10"/>
  <c r="H112" i="10"/>
  <c r="H98" i="10"/>
  <c r="H97" i="10" s="1"/>
  <c r="R91" i="10" l="1"/>
  <c r="S91" i="10" s="1"/>
  <c r="H91" i="10"/>
  <c r="H90" i="10"/>
  <c r="H89" i="10"/>
  <c r="H88" i="10"/>
  <c r="H87" i="10"/>
  <c r="H86" i="10"/>
  <c r="H83" i="10"/>
  <c r="H82" i="10"/>
  <c r="H81" i="10"/>
  <c r="H80" i="10"/>
  <c r="H79" i="10"/>
  <c r="H78" i="10"/>
  <c r="H76" i="10"/>
  <c r="H75" i="10"/>
  <c r="H74" i="10"/>
  <c r="H72" i="10"/>
  <c r="H71" i="10"/>
  <c r="H70" i="10"/>
  <c r="H69" i="10"/>
  <c r="H68" i="10"/>
  <c r="H67" i="10"/>
  <c r="H66" i="10"/>
  <c r="H65" i="10"/>
  <c r="H64" i="10"/>
  <c r="J61" i="10"/>
  <c r="H54" i="10"/>
  <c r="H53" i="10"/>
  <c r="H52" i="10"/>
  <c r="H51" i="10"/>
  <c r="H50" i="10"/>
  <c r="H49" i="10"/>
  <c r="H48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1" i="10"/>
  <c r="H10" i="10"/>
  <c r="H7" i="10"/>
  <c r="H6" i="10"/>
  <c r="I170" i="10"/>
  <c r="I57" i="10" l="1"/>
  <c r="I56" i="10"/>
  <c r="I7" i="10"/>
  <c r="I6" i="10"/>
  <c r="M152" i="1"/>
  <c r="E152" i="1"/>
  <c r="I152" i="1" s="1"/>
  <c r="I155" i="1" s="1"/>
  <c r="E131" i="1"/>
  <c r="E120" i="1"/>
  <c r="E132" i="1"/>
  <c r="E139" i="1"/>
  <c r="H115" i="1"/>
  <c r="I94" i="1"/>
  <c r="H94" i="1"/>
  <c r="H93" i="1" s="1"/>
  <c r="D94" i="1"/>
  <c r="D93" i="1" s="1"/>
  <c r="D118" i="1" s="1"/>
  <c r="S118" i="1" s="1"/>
  <c r="L118" i="1"/>
  <c r="D115" i="1"/>
  <c r="E115" i="1"/>
  <c r="I115" i="1"/>
  <c r="I15" i="1"/>
  <c r="Q51" i="1"/>
  <c r="M139" i="1"/>
  <c r="E15" i="1"/>
  <c r="I139" i="1"/>
  <c r="H155" i="1"/>
  <c r="I150" i="1"/>
  <c r="H150" i="1"/>
  <c r="H139" i="1"/>
  <c r="I132" i="1"/>
  <c r="I131" i="1"/>
  <c r="H132" i="1"/>
  <c r="H131" i="1" s="1"/>
  <c r="I120" i="1"/>
  <c r="H120" i="1"/>
  <c r="I110" i="1"/>
  <c r="I108" i="1" s="1"/>
  <c r="I105" i="1"/>
  <c r="I104" i="1"/>
  <c r="I93" i="1"/>
  <c r="I72" i="1"/>
  <c r="I91" i="1"/>
  <c r="H72" i="1"/>
  <c r="H91" i="1" s="1"/>
  <c r="H15" i="1"/>
  <c r="H61" i="1" s="1"/>
  <c r="U61" i="1" s="1"/>
  <c r="I11" i="1"/>
  <c r="I145" i="1"/>
  <c r="F148" i="7"/>
  <c r="F85" i="7"/>
  <c r="G156" i="7"/>
  <c r="M163" i="10"/>
  <c r="M164" i="10"/>
  <c r="M165" i="10"/>
  <c r="F87" i="7"/>
  <c r="F55" i="7"/>
  <c r="F11" i="7"/>
  <c r="H167" i="10"/>
  <c r="I162" i="10"/>
  <c r="M162" i="10"/>
  <c r="I161" i="10"/>
  <c r="M161" i="10"/>
  <c r="I149" i="10"/>
  <c r="M149" i="10"/>
  <c r="I148" i="10"/>
  <c r="M148" i="10"/>
  <c r="I147" i="10"/>
  <c r="M147" i="10"/>
  <c r="I146" i="10"/>
  <c r="M146" i="10"/>
  <c r="I144" i="10"/>
  <c r="M144" i="10"/>
  <c r="I143" i="10"/>
  <c r="M143" i="10" s="1"/>
  <c r="I142" i="10"/>
  <c r="I141" i="10"/>
  <c r="M141" i="10" s="1"/>
  <c r="I140" i="10"/>
  <c r="M140" i="10" s="1"/>
  <c r="I139" i="10"/>
  <c r="M139" i="10" s="1"/>
  <c r="I136" i="10"/>
  <c r="M136" i="10" s="1"/>
  <c r="I135" i="10"/>
  <c r="M135" i="10" s="1"/>
  <c r="I134" i="10"/>
  <c r="M134" i="10" s="1"/>
  <c r="I133" i="10"/>
  <c r="M133" i="10" s="1"/>
  <c r="I132" i="10"/>
  <c r="M132" i="10" s="1"/>
  <c r="I131" i="10"/>
  <c r="M131" i="10" s="1"/>
  <c r="I130" i="10"/>
  <c r="M130" i="10" s="1"/>
  <c r="I129" i="10"/>
  <c r="M129" i="10" s="1"/>
  <c r="I128" i="10"/>
  <c r="M128" i="10" s="1"/>
  <c r="I127" i="10"/>
  <c r="M127" i="10" s="1"/>
  <c r="H125" i="10"/>
  <c r="I120" i="10"/>
  <c r="I118" i="10"/>
  <c r="I117" i="10"/>
  <c r="I116" i="10"/>
  <c r="I115" i="10"/>
  <c r="I113" i="10"/>
  <c r="I111" i="10"/>
  <c r="I110" i="10"/>
  <c r="I107" i="10"/>
  <c r="I106" i="10"/>
  <c r="I105" i="10"/>
  <c r="I104" i="10"/>
  <c r="I103" i="10"/>
  <c r="I102" i="10"/>
  <c r="I101" i="10"/>
  <c r="I100" i="10"/>
  <c r="I99" i="10"/>
  <c r="H96" i="10"/>
  <c r="M94" i="10"/>
  <c r="M93" i="10"/>
  <c r="M92" i="10"/>
  <c r="I91" i="10"/>
  <c r="M91" i="10" s="1"/>
  <c r="I90" i="10"/>
  <c r="M90" i="10" s="1"/>
  <c r="I89" i="10"/>
  <c r="M89" i="10" s="1"/>
  <c r="I88" i="10"/>
  <c r="M88" i="10" s="1"/>
  <c r="I87" i="10"/>
  <c r="M87" i="10" s="1"/>
  <c r="I86" i="10"/>
  <c r="M86" i="10" s="1"/>
  <c r="I85" i="10"/>
  <c r="M85" i="10" s="1"/>
  <c r="I84" i="10"/>
  <c r="M84" i="10" s="1"/>
  <c r="I83" i="10"/>
  <c r="I82" i="10"/>
  <c r="M82" i="10" s="1"/>
  <c r="I81" i="10"/>
  <c r="M81" i="10" s="1"/>
  <c r="I80" i="10"/>
  <c r="M80" i="10" s="1"/>
  <c r="I79" i="10"/>
  <c r="I78" i="10"/>
  <c r="I77" i="10"/>
  <c r="M77" i="10" s="1"/>
  <c r="I76" i="10"/>
  <c r="M76" i="10" s="1"/>
  <c r="I75" i="10"/>
  <c r="H73" i="10"/>
  <c r="H63" i="10" s="1"/>
  <c r="I74" i="10"/>
  <c r="M74" i="10" s="1"/>
  <c r="I72" i="10"/>
  <c r="M72" i="10" s="1"/>
  <c r="I71" i="10"/>
  <c r="M71" i="10" s="1"/>
  <c r="I70" i="10"/>
  <c r="M70" i="10" s="1"/>
  <c r="I69" i="10"/>
  <c r="M69" i="10" s="1"/>
  <c r="I68" i="10"/>
  <c r="I67" i="10"/>
  <c r="M67" i="10" s="1"/>
  <c r="I66" i="10"/>
  <c r="I65" i="10"/>
  <c r="I64" i="10"/>
  <c r="I55" i="10"/>
  <c r="M55" i="10" s="1"/>
  <c r="I54" i="10"/>
  <c r="M54" i="10" s="1"/>
  <c r="I53" i="10"/>
  <c r="I52" i="10"/>
  <c r="I51" i="10"/>
  <c r="I50" i="10"/>
  <c r="M50" i="10" s="1"/>
  <c r="I49" i="10"/>
  <c r="M49" i="10" s="1"/>
  <c r="I48" i="10"/>
  <c r="M48" i="10" s="1"/>
  <c r="I47" i="10"/>
  <c r="M47" i="10" s="1"/>
  <c r="I46" i="10"/>
  <c r="M46" i="10" s="1"/>
  <c r="I45" i="10"/>
  <c r="M45" i="10" s="1"/>
  <c r="I44" i="10"/>
  <c r="M44" i="10" s="1"/>
  <c r="I43" i="10"/>
  <c r="M43" i="10" s="1"/>
  <c r="I42" i="10"/>
  <c r="I41" i="10"/>
  <c r="M41" i="10" s="1"/>
  <c r="I40" i="10"/>
  <c r="M40" i="10" s="1"/>
  <c r="I39" i="10"/>
  <c r="M39" i="10" s="1"/>
  <c r="I38" i="10"/>
  <c r="M38" i="10" s="1"/>
  <c r="I37" i="10"/>
  <c r="M37" i="10" s="1"/>
  <c r="I36" i="10"/>
  <c r="M36" i="10" s="1"/>
  <c r="I35" i="10"/>
  <c r="M35" i="10" s="1"/>
  <c r="I34" i="10"/>
  <c r="M34" i="10" s="1"/>
  <c r="I33" i="10"/>
  <c r="M33" i="10" s="1"/>
  <c r="I32" i="10"/>
  <c r="I31" i="10"/>
  <c r="I30" i="10"/>
  <c r="M30" i="10" s="1"/>
  <c r="I29" i="10"/>
  <c r="M29" i="10" s="1"/>
  <c r="I28" i="10"/>
  <c r="I27" i="10"/>
  <c r="M27" i="10" s="1"/>
  <c r="I26" i="10"/>
  <c r="M26" i="10" s="1"/>
  <c r="I25" i="10"/>
  <c r="M25" i="10" s="1"/>
  <c r="I24" i="10"/>
  <c r="M24" i="10" s="1"/>
  <c r="I23" i="10"/>
  <c r="M23" i="10" s="1"/>
  <c r="I22" i="10"/>
  <c r="M22" i="10" s="1"/>
  <c r="I21" i="10"/>
  <c r="M21" i="10" s="1"/>
  <c r="I20" i="10"/>
  <c r="M20" i="10" s="1"/>
  <c r="I19" i="10"/>
  <c r="M19" i="10" s="1"/>
  <c r="I18" i="10"/>
  <c r="I17" i="10"/>
  <c r="M17" i="10" s="1"/>
  <c r="I16" i="10"/>
  <c r="I15" i="10"/>
  <c r="I14" i="10"/>
  <c r="M14" i="10" s="1"/>
  <c r="I13" i="10"/>
  <c r="I12" i="10" s="1"/>
  <c r="I11" i="10"/>
  <c r="M11" i="10" s="1"/>
  <c r="I10" i="10"/>
  <c r="M10" i="10" s="1"/>
  <c r="H8" i="10"/>
  <c r="I9" i="10"/>
  <c r="M9" i="10" s="1"/>
  <c r="M7" i="10"/>
  <c r="F91" i="7"/>
  <c r="F12" i="7"/>
  <c r="F150" i="7"/>
  <c r="F138" i="7"/>
  <c r="F137" i="7"/>
  <c r="F136" i="7"/>
  <c r="F117" i="7"/>
  <c r="F116" i="7"/>
  <c r="M53" i="10"/>
  <c r="I160" i="10"/>
  <c r="M13" i="10"/>
  <c r="M15" i="10"/>
  <c r="M18" i="10"/>
  <c r="I8" i="10"/>
  <c r="M65" i="10"/>
  <c r="M79" i="10"/>
  <c r="M83" i="10"/>
  <c r="M51" i="10"/>
  <c r="M75" i="10"/>
  <c r="M52" i="10"/>
  <c r="M68" i="10"/>
  <c r="M142" i="10"/>
  <c r="M31" i="10"/>
  <c r="M42" i="10"/>
  <c r="M78" i="10"/>
  <c r="M16" i="10"/>
  <c r="M32" i="10"/>
  <c r="M28" i="10"/>
  <c r="M66" i="10"/>
  <c r="M64" i="10"/>
  <c r="H12" i="10"/>
  <c r="M150" i="1"/>
  <c r="L150" i="1"/>
  <c r="E150" i="1"/>
  <c r="Q148" i="1"/>
  <c r="I168" i="10"/>
  <c r="I167" i="10" s="1"/>
  <c r="M132" i="1"/>
  <c r="I126" i="10"/>
  <c r="M155" i="1"/>
  <c r="Q136" i="1"/>
  <c r="Q144" i="1"/>
  <c r="Q88" i="1"/>
  <c r="Q87" i="1"/>
  <c r="Q82" i="1"/>
  <c r="Q83" i="1"/>
  <c r="Q84" i="1"/>
  <c r="Q85" i="1"/>
  <c r="Q81" i="1"/>
  <c r="Q52" i="1"/>
  <c r="Q53" i="1"/>
  <c r="Q54" i="1"/>
  <c r="Q55" i="1"/>
  <c r="Q10" i="1"/>
  <c r="Q12" i="1"/>
  <c r="Q13" i="1"/>
  <c r="Q14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6" i="1"/>
  <c r="Q57" i="1"/>
  <c r="Q58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6" i="1"/>
  <c r="Q89" i="1"/>
  <c r="Q90" i="1"/>
  <c r="Q92" i="1"/>
  <c r="Q95" i="1"/>
  <c r="Q96" i="1"/>
  <c r="Q97" i="1"/>
  <c r="Q98" i="1"/>
  <c r="Q99" i="1"/>
  <c r="Q100" i="1"/>
  <c r="Q101" i="1"/>
  <c r="Q102" i="1"/>
  <c r="Q109" i="1"/>
  <c r="Q111" i="1"/>
  <c r="Q112" i="1"/>
  <c r="Q113" i="1"/>
  <c r="Q114" i="1"/>
  <c r="Q116" i="1"/>
  <c r="Q119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7" i="1"/>
  <c r="Q138" i="1"/>
  <c r="Q140" i="1"/>
  <c r="Q141" i="1"/>
  <c r="Q143" i="1"/>
  <c r="Q147" i="1"/>
  <c r="Q149" i="1"/>
  <c r="Q153" i="1"/>
  <c r="Q154" i="1"/>
  <c r="Q9" i="1"/>
  <c r="L139" i="1"/>
  <c r="I145" i="10" s="1"/>
  <c r="M145" i="10" s="1"/>
  <c r="D150" i="1"/>
  <c r="L155" i="1"/>
  <c r="D155" i="1"/>
  <c r="E155" i="1"/>
  <c r="D139" i="1"/>
  <c r="M131" i="1"/>
  <c r="M145" i="1"/>
  <c r="Q145" i="1" s="1"/>
  <c r="L132" i="1"/>
  <c r="I138" i="10" s="1"/>
  <c r="L120" i="1"/>
  <c r="D120" i="1"/>
  <c r="D132" i="1"/>
  <c r="D131" i="1" s="1"/>
  <c r="M94" i="1"/>
  <c r="Q94" i="1" s="1"/>
  <c r="I98" i="10"/>
  <c r="E94" i="1"/>
  <c r="E93" i="1" s="1"/>
  <c r="M72" i="1"/>
  <c r="L72" i="1"/>
  <c r="L91" i="1" s="1"/>
  <c r="R91" i="1" s="1"/>
  <c r="E72" i="1"/>
  <c r="D72" i="1"/>
  <c r="D91" i="1"/>
  <c r="M15" i="1"/>
  <c r="Q15" i="1" s="1"/>
  <c r="L15" i="1"/>
  <c r="L61" i="1" s="1"/>
  <c r="D15" i="1"/>
  <c r="D61" i="1" s="1"/>
  <c r="Q120" i="1"/>
  <c r="Q155" i="1"/>
  <c r="L131" i="1"/>
  <c r="Q152" i="1"/>
  <c r="E11" i="1"/>
  <c r="E61" i="1"/>
  <c r="Q132" i="1"/>
  <c r="Q139" i="1"/>
  <c r="M115" i="1"/>
  <c r="I119" i="10" s="1"/>
  <c r="M110" i="1"/>
  <c r="I114" i="10" s="1"/>
  <c r="M105" i="1"/>
  <c r="M104" i="1" s="1"/>
  <c r="E145" i="1"/>
  <c r="Q131" i="1"/>
  <c r="I112" i="10"/>
  <c r="E110" i="1"/>
  <c r="E108" i="1" s="1"/>
  <c r="Q108" i="1" s="1"/>
  <c r="E105" i="1"/>
  <c r="E104" i="1" s="1"/>
  <c r="E91" i="1"/>
  <c r="S91" i="1" s="1"/>
  <c r="M11" i="1"/>
  <c r="M138" i="10" l="1"/>
  <c r="I137" i="10"/>
  <c r="M6" i="10"/>
  <c r="I5" i="10"/>
  <c r="Q72" i="1"/>
  <c r="Q150" i="1"/>
  <c r="I61" i="1"/>
  <c r="S61" i="1" s="1"/>
  <c r="T61" i="1" s="1"/>
  <c r="D145" i="1"/>
  <c r="L145" i="1"/>
  <c r="M61" i="1"/>
  <c r="R61" i="1" s="1"/>
  <c r="M93" i="1"/>
  <c r="M91" i="1"/>
  <c r="Q91" i="1" s="1"/>
  <c r="M168" i="10"/>
  <c r="H118" i="1"/>
  <c r="I118" i="1"/>
  <c r="I156" i="1" s="1"/>
  <c r="I161" i="1" s="1"/>
  <c r="H145" i="1"/>
  <c r="H156" i="1" s="1"/>
  <c r="M12" i="10"/>
  <c r="H5" i="10"/>
  <c r="M8" i="10"/>
  <c r="I108" i="10"/>
  <c r="M118" i="1"/>
  <c r="L156" i="1"/>
  <c r="Q61" i="1"/>
  <c r="M167" i="10"/>
  <c r="E118" i="1"/>
  <c r="E156" i="1" s="1"/>
  <c r="E161" i="1" s="1"/>
  <c r="T151" i="1"/>
  <c r="M126" i="10"/>
  <c r="Q11" i="1"/>
  <c r="Q115" i="1"/>
  <c r="I109" i="10"/>
  <c r="H160" i="10"/>
  <c r="M160" i="10" s="1"/>
  <c r="I73" i="10"/>
  <c r="Q110" i="1"/>
  <c r="M170" i="10"/>
  <c r="M5" i="10" l="1"/>
  <c r="I97" i="10"/>
  <c r="Q93" i="1"/>
  <c r="R156" i="1"/>
  <c r="D156" i="1"/>
  <c r="D160" i="1" s="1"/>
  <c r="D162" i="1" s="1"/>
  <c r="T145" i="1"/>
  <c r="Q118" i="1"/>
  <c r="I96" i="10"/>
  <c r="M137" i="10"/>
  <c r="I125" i="10"/>
  <c r="M125" i="10" s="1"/>
  <c r="H160" i="1"/>
  <c r="H162" i="1" s="1"/>
  <c r="S156" i="1"/>
  <c r="T156" i="1" s="1"/>
  <c r="M156" i="1"/>
  <c r="Q156" i="1" s="1"/>
  <c r="M73" i="10"/>
  <c r="I63" i="10"/>
  <c r="H174" i="10"/>
  <c r="M63" i="10" l="1"/>
  <c r="I174" i="10"/>
  <c r="I175" i="10" s="1"/>
</calcChain>
</file>

<file path=xl/sharedStrings.xml><?xml version="1.0" encoding="utf-8"?>
<sst xmlns="http://schemas.openxmlformats.org/spreadsheetml/2006/main" count="1492" uniqueCount="620">
  <si>
    <t>Данная мера соц. поддержки предоставляется по фактическому обращению граждан. (1чел.)</t>
  </si>
  <si>
    <t>Обращений не поступало.</t>
  </si>
  <si>
    <t>расходы не производились в связи с отсутствием заявителей</t>
  </si>
  <si>
    <t xml:space="preserve">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Анатольевнаа, департамент охраны прапв несовершеннолетних  директор департамента Габбасова Н.Н.</t>
  </si>
  <si>
    <t>Департамент занятости, труда, и развития социального партнёрства Савельева Галина Александровна, директор департамента, 41-72-03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</si>
  <si>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Главного управления труда,занятости и социального благополучия Ульяновской области, к уровню 2009 года (в сопоставимых условиях), процентов</t>
  </si>
  <si>
    <t>Обеспечено методологическое сопровождение внедрения и реализации технологии предоставления МСП населению Ульяновкой области по принципу одного окна с использованием АИС СЗН в связи с изменением законодательства в полном объеме;   
Произведена доработка, настройка автоматизированной информационной системы «Единый социальный регистр населения Ульяновской области в полном объеме. 
Внедрена новая подсистема, предназначенная для формирования и ведения реестра поставщиков социальных услуг (далее – Реестр) и регистра получателей социальных услуг (далее – Регистр) Ульяновской области в соответствии с требованиями Федерального закона № 442-ФЗ от 28 декабря 2013 г. «Об основах социального обслуживания граждан в Российской Федерации» в полном объеме.</t>
  </si>
  <si>
    <t>Ресурсное обеспечение   мер социальной поддержки семей,имеющих детей,от общей потребности на их реализацию, процентов</t>
  </si>
  <si>
    <t>4.5.3.</t>
  </si>
  <si>
    <t>Выплата денежного вознаграждения гражданам, оказавшим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</si>
  <si>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Сведения об объёмах финансирования  за 9 месяцев  2015 года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</si>
  <si>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</si>
  <si>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</si>
  <si>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Министерство строительства, жилищно-коммунального комплекса и транспорта Ульяновской области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</si>
  <si>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</si>
  <si>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</si>
  <si>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</si>
  <si>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3.5.</t>
  </si>
  <si>
    <t>,</t>
  </si>
  <si>
    <t>на 01.10.2015 заключено 40 социальных контрактов</t>
  </si>
  <si>
    <t>на 01.07.2015 оказана адресная материальная помощь 2644 чел., оказавшимся в трудной жизненной ситуации</t>
  </si>
  <si>
    <t>За 9 месяцев выплата пособия по погребению представлена 1292 гражданам в полном объёме.</t>
  </si>
  <si>
    <t>За 9 месяцев единовременная материальная помощь оказана 6 чел. Задолженности перед получателями нет.</t>
  </si>
  <si>
    <t>За 9 месяцев меры социальной поддержки представлены 3605 гражданам в полном объёме.</t>
  </si>
  <si>
    <t>Проведено 6 социально значимых мероприятий</t>
  </si>
  <si>
    <t>Снижено планируемое количество социально-значимых мероприятий и их финансирование</t>
  </si>
  <si>
    <t>За 9 месяцев обращений за данной мерой соц.поддержки нет</t>
  </si>
  <si>
    <t>Произведены выплаты единовременного пособия на 27 усыновлённых детей в полном объёме.</t>
  </si>
  <si>
    <t>Произведены выплаты 177 получателям в полном объёме.</t>
  </si>
  <si>
    <t>произведено возмещение расходов 11 получателям в полном объёме.</t>
  </si>
  <si>
    <t>перечислены денежные средства на содержание 33653 детей, 21150 получателям ежемесячного вознаграждения в полном объёме.</t>
  </si>
  <si>
    <t>Меры социальной поддержки  представлены 47 человек в  полном объёме, что  составляет 87%  от запланированной .</t>
  </si>
  <si>
    <t>За 9 месяцев меры социальной поддержки  представлены 47 граждан в  полном объёме.</t>
  </si>
  <si>
    <t>За 9 месяцев поступило 1 заявление и выплата произведена в полном объёме.</t>
  </si>
  <si>
    <t>За 9 месяцев пособие предоставлено на 2230 деей. Задолженности перед получателями нет.</t>
  </si>
  <si>
    <t>За 9 месяцев меры социальной поддержки  представлены 2768 человек в  полном объёме.</t>
  </si>
  <si>
    <t>За 9 месяцев перевозки несовершеннолетних не осуществлялись.</t>
  </si>
  <si>
    <t>Плановые показатели за 9 месяцев перевыполнены.</t>
  </si>
  <si>
    <t xml:space="preserve">Предоставление мер социальной поддержки                           116 639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</si>
  <si>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148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</si>
  <si>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Предоставление мер социальной поддержки 12723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</si>
  <si>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выплаты. Оказание  помощи 3 гражданам</t>
  </si>
  <si>
    <t>1) прием документов; 2) подготовка распорядительного документа; 3) предоставление выплаты. Компенсационные выплаты 12 гражданам</t>
  </si>
  <si>
    <t>Предоставление мер социальной поддержки на оплату жилищно-коммунальных услуг 120066 отдельным категориям граждан</t>
  </si>
  <si>
    <t>содержание учреждений социального обслуживания инвалидов, граждан пожилого возраста и иных категорий граждан)</t>
  </si>
  <si>
    <t>содержание областных государственных учреждений социальной защиты населения по обеспечению хозяйственного обслуживания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</si>
  <si>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16447  многодетным семьям</t>
  </si>
  <si>
    <t>Выплата ежемесячного пособия на 60223 ребёнка гражданам, имеющим детей</t>
  </si>
  <si>
    <t xml:space="preserve">Реализация мер социальной поддержки 54 детей </t>
  </si>
  <si>
    <t>Предоставление мер социальной поддержи 120 отдельным категориям инвалидов,  имеющих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</si>
  <si>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250 свидетельств о предоставлении единовременных выплат. Реализация выданных 65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</si>
  <si>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4515 гражданам</t>
  </si>
  <si>
    <t>Выплата 1 пособия по беременности и родам (планирование на основании фактических данных за прошедшие 3 года)</t>
  </si>
  <si>
    <t>Выплата 1 пособия (планирование на основании фактических данных за прошедшие 3 года)</t>
  </si>
  <si>
    <t>Выплата 900 пособий</t>
  </si>
  <si>
    <t>По факту бегства отправляется запрос на финансирование</t>
  </si>
  <si>
    <t>Публикации в периодических печатных изданиях (размещение статей в газете) - ежемесячно, изготовление печатной продукци. Количество заключённых договоров 11</t>
  </si>
  <si>
    <t>Приобретение материально-технического обеспечения для проведения 57 ярмарок вакансий</t>
  </si>
  <si>
    <t xml:space="preserve">Организация проф.обучения 25 гражданам пенсионного возраста </t>
  </si>
  <si>
    <t>Конкурс Лучший работодатель года, премия 5 конкурсантам по 50,0 тыс. рублей</t>
  </si>
  <si>
    <t>Принятие НПА о проведении областного конкурса «Лучший специалист по охране труда 2015года»</t>
  </si>
  <si>
    <t>Осуществление социальных выплат гражданам, признанным в установленном порядке безработными - 2264 чел.</t>
  </si>
  <si>
    <t>Разработка рекламной продукции по программе переселения,размещение информации в СМИ</t>
  </si>
  <si>
    <t>1 кв.</t>
  </si>
  <si>
    <t>4 кв.</t>
  </si>
  <si>
    <t>2 кв.</t>
  </si>
  <si>
    <t>3 кв.</t>
  </si>
  <si>
    <t>Содержание и обеспечение деятельности детских домов, детских домов-интернатов и социально-реабилитационных центров для несовершеннолетних</t>
  </si>
  <si>
    <t>Погашение кредиторской задолженности за 2014 год.</t>
  </si>
  <si>
    <t>Главное управление труда, занятости и социального благополучия  Ульяновской области , соисполнитель не предусмотрен</t>
  </si>
  <si>
    <t>Главное управление труда, занятости и социального благополучия  Ульяновской области ,</t>
  </si>
  <si>
    <t>5.3.</t>
  </si>
  <si>
    <t>Средства на реализацию мероприятий, предусмотренных региональными программами переселения, включёнными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</si>
  <si>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средств, предоставление адресной материальной помощи 2200 гражданам</t>
  </si>
  <si>
    <t>Сбор пакетов документов территориальными органами, приянтие решения, оформление решения протоколом, подготовка распоряжения на перечисление денежных средств, предоставление  адресной  помощи 22семьям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</si>
  <si>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1800 гражданам из числа социально не защищённых категорий </t>
  </si>
  <si>
    <t xml:space="preserve">1.Приём документов  2. Формирование выплатных документов . 3. Направление выплатных документов в Сбербанк и Главпочтамт.Ежемесячная денежная выплата 244 ветеранам творческих профессий </t>
  </si>
  <si>
    <t xml:space="preserve">Прием документов, их проверка и включение граждан в список на получение свидетельств. Подготовка распоряжения о выдаче свидетельств, выдача 14 свидетельств о предоставлении единовременных выплат. Реализация выданных 3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</si>
  <si>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104844 гражданам родившихся в период с 01 января 1932 года по 31 декабря 1945 года</t>
  </si>
  <si>
    <t>1) прием документов; 2) подготовка распорядительного документа; 3) предоставление выплаты. Предоставление мер социальной поддержки 280  сельским старостам</t>
  </si>
  <si>
    <t>1) прием документов; 2) подготовка распорядительного документа; 3) предоставление выплаты. Предоставление единовременного пособия 1 работнику противопожарной службы Ульяновской области</t>
  </si>
  <si>
    <t>Предоставление мер социальной поддержки 8105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</si>
  <si>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Выплаты 31 инвалидам  страховых премий</t>
  </si>
  <si>
    <t>1) прием документов; 2) подготовка распорядительного документа; 3) перечисление денежных средств. Возмещение расходов 10 детям-сиротам и детям, оставшихся без попечения родителей</t>
  </si>
  <si>
    <t>Проверка документов, подготовка распоряжений о выдаче сертификатов, выдача сертификатов.  Подготовка распоряжений о реализация 1200 сертификатов</t>
  </si>
  <si>
    <t>Кандидаты на соискание премии выдвигаются органами местного самоуправления муниципальных образований Ульяновской области, общественными объединениями, учреждениями, фондами, иными организациями</t>
  </si>
  <si>
    <t xml:space="preserve">Ежемесячная выплата на 3400 детей до достижения им возраста 3 лет  </t>
  </si>
  <si>
    <t>ежемесячная денежная выплата 323 беременным женщинам и кормящим матерям</t>
  </si>
  <si>
    <t>Единовременное пособие 36 беременным женам военнослужащих,</t>
  </si>
  <si>
    <t>подготовка ТЗ</t>
  </si>
  <si>
    <t>заключение договора на оказание услуг, проведение курса лекций</t>
  </si>
  <si>
    <t xml:space="preserve">заключение договора на оказание услуг, издание 10 буклетов  по 200 шт. </t>
  </si>
  <si>
    <t>заключение договора, проведение мероприятия  Дня больных рассеянным склерозом,</t>
  </si>
  <si>
    <t>спортивные соревнования для инвалидов и граждан пожилого возраста общее количество участников 100 человек</t>
  </si>
  <si>
    <t>Организация обучения и повышения квалификации безработных граждан для эффективной адаптации на рынке труда. Оказание образовательных услуг 352 чел.</t>
  </si>
  <si>
    <t>Организация работы с безработными гражданами по адаптации на рынке труда 398 чел.</t>
  </si>
  <si>
    <t>Оказание консультационных и методических услуг по вопросам организации предпринимательской деятельности и содействие в разработке бизнес-плана. Предоставление гос. услуги по содействию в самозанятости безработным гражданам с выплатой единовременной финансовой помощи -18 чел.</t>
  </si>
  <si>
    <t>Софинансирование 5% из областного бюджета на трудоустройство 75 незанятых инвалидов</t>
  </si>
  <si>
    <t>Планируется оборудовать рабочие места и трудоустроить на них 75 незанятых инвалидов</t>
  </si>
  <si>
    <t>Организация обучения 90 женщин в период отпуска по уходу за ребёнком до трёх лет</t>
  </si>
  <si>
    <t>Средства будут потрачены на изготовление печатной продукции в полном объёме для проведения месячника</t>
  </si>
  <si>
    <t>Программа пользуется популярностью, число желающих принять в ней участие стабильно растёт</t>
  </si>
  <si>
    <t>Доля детей-сирот и детей, оставшихся без попечения родителей, переданных на воспитание в семьи,  в общей численности детей-сирот и детей,  оставшихся без попечения родителей, процентов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</si>
  <si>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</si>
  <si>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</si>
  <si>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</si>
  <si>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</si>
  <si>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</si>
  <si>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</si>
  <si>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"Социальная поддержка и защита населения Ульяновской области на 2014-2018 годы"</t>
  </si>
  <si>
    <t>Сведения о достижении целевых показателей Государственной программы</t>
  </si>
  <si>
    <t>Приложение 3</t>
  </si>
  <si>
    <t>Уровень регистрируемой безработицы к численности эко-номически активного населения Ульяновской области, процентов (4.1)</t>
  </si>
  <si>
    <t>Количество получателей государственных услуг в сфере содействия занятости населения, человек (4.4.)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</si>
  <si>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 (4.2)</t>
  </si>
  <si>
    <t>Количество работников, прошедших обучение по охране труда в аккредитованных обучающих организациях, человек (4.3)</t>
  </si>
  <si>
    <t>Численность пострадавших в результате несчастных случаев на производстве с утратой трудоспособности на 1 рабочий день и более человек (4.5)</t>
  </si>
  <si>
    <t>Количество рабочих мест, на которых проведена специальная оценка условий труда (от общего количества рабочих мест) (4.6)</t>
  </si>
  <si>
    <t>Изменения в законодательстве о льготном пенсионном обеспечении работников, занятых во вредных условиях труда позволило активизировать деятельность работодателей по проведению специальной оценки условий труда</t>
  </si>
  <si>
    <t>Удельный вес рабочих мест, на которых проведена специальная оценка условий труда, в общем количестве рабочих мест, процентов (4.7)</t>
  </si>
  <si>
    <t xml:space="preserve">Показатель подсчитывается по итогам года </t>
  </si>
  <si>
    <t>Численность работников, занятых во вредных производствах и (или) опасных условиях труда, тыс. человек (4.8)</t>
  </si>
  <si>
    <t>Показатель подсчитывается Федеральной службой  государственной статистики по Ульяновской области 1 раз в год (за 2015 год показатель будет определён в мае 2016 года)</t>
  </si>
  <si>
    <t>Удельный вес работников, занятых во вредных производствах и (или) опасных условиях труда, от общей численности работников, процентов (4.9)</t>
  </si>
  <si>
    <t>Доля участников подпрограммы, прибывших в  Ульяновскую область и вставших на миграционный учёт, в общем числе участников подпрограммы, процентов (5.1)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</si>
  <si>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</si>
  <si>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Доля участников подпрограммы в возрасте до 30 лет в общей численности соотечественников трудоспособного возраста, процентов (5.2)</t>
  </si>
  <si>
    <t>Планируется организовать и направить 522 чел. на работы носящий временный или сезонный характер</t>
  </si>
  <si>
    <t>Изготовление буклетов 1125 шт.</t>
  </si>
  <si>
    <t xml:space="preserve">В  апреле 2015 года организован и проведён областной месячник охраны труда в Ульяновской области. Организовано более 80 мероприятий, направленных на улучшение условий труда работников организаций, проведено 39 обучающих семинаров, совещаний, собраний по вопросам охраны труда.
</t>
  </si>
  <si>
    <t>Обеспечение деятельности областных государственных казённых учреждений центров занятости населения</t>
  </si>
  <si>
    <t>Пособия планируется выплатить 248 соотечественникам</t>
  </si>
  <si>
    <t>За отчётный период 2015 года пособие получили 427 соотечественников, прибывших на территорию Ульяновской области.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</si>
  <si>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32 усыновленных ребенка</t>
  </si>
  <si>
    <t>1) прием документов; 2) подготовка распорядительного документа; 3) предоставление выплаты. Ежемесячная выплата 300 детям-сиротам и детям, оставшимся без попечения родителей</t>
  </si>
  <si>
    <t>Предоставление ежемесячной денежной выплаты производится на заявительной основе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</si>
  <si>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 ремонт 14 лицам из числа детей-сирот и детей, оставшихся без попечения родителей</t>
  </si>
  <si>
    <t>1) прием заявок от МО; 2) предоставление субвенций МО; 3) перечисление денежных средств. Ежемесячная выплата на проезд 16368 детям-сиротам и детям, оставшимся без попечения родителей</t>
  </si>
  <si>
    <t>1) прием заявок от МО; 2) предоставление субвенций МО; 3) перечисление денежных средств. 22530 получателей (на ребёнка); 14296 получателей (ежемесячное вознаграждение)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</si>
  <si>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субвенций. Предоставление субвенций для 23 МО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</si>
  <si>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26 детям-сиротам и детям, оставшихся без попечения родителей</t>
  </si>
  <si>
    <t>Расходы не производились в связи с отсутствием заявителей</t>
  </si>
  <si>
    <t>1) прием документов; 2) подготовка распорядительного документа; 3) перечисление денежных средств. Выплата единовременного пособия гражданам при передаче в семью 200 детей</t>
  </si>
  <si>
    <t xml:space="preserve">В соответствии с распределением субвенций на выплату единовременного пособия
при всех формах устройства детей, лишенных родительского
попечения, в семью бюджетам субъектов Российской Федерации
на 2015 год Ульяновской области предусмотрены федеральные средства в сумме 10 427,5 тыс.рублей. Согласно заявке, направленной в Минобрнауки России (письмо от 19.12.2014 № 73-ИОГВ-08.01.01.03/16007исх), размер субвенции, установленный федеральным законом о бюджете на выплату единовременных пособий при всех формах устройства детей, лишенных родительского попечения в семью, на 2015 год составляет 7729,16 тыс.рублей. Исполнение мероприятия из расчета суммы федеральных средств 10 427,5 тыс.рублей составляет 58,5 %. Исполнение мероприятия из расчета суммы федеральных средств 7729,16 тыс.рублей составляет 87,2 %.
</t>
  </si>
  <si>
    <t>Предоставление субсидий  на оплату жилого помещения и коммунальных услуг 30000 граждан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</si>
  <si>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10000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</si>
  <si>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1) прием документов; 2) подготовка распорядительного документа; 3) предоставление выплаты. Ежемесячная компенсация 2642 гражданам</t>
  </si>
  <si>
    <t>Ежемесячное предоставление пенсии за выслугу лет 660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</si>
  <si>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>Оказание Психолого-педагогическая помощь гражданам в трудной жизненной ситуации и семьям в социально-опасном положении 7946 чел.дн. Психологическая коррекция нарушений общения и искажений в психическом развитии у детей и отдельных граждан 3695 чел. дн. Организация работы телефона экстренной психологической помощи 2190 часов. Организационно-методическая работа 442 часа</t>
  </si>
  <si>
    <t>Выполнение составляет 100 % от годовой нормы</t>
  </si>
  <si>
    <t>Обращений от граждан не поступало.</t>
  </si>
  <si>
    <t>Меры социальной поддержки предоставлены 2 человекам, что составляет 100% от запланированного.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</si>
  <si>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</si>
  <si>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</si>
  <si>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Исполнение по финаснированию состваляет 75,8 % от плана. Выплата заработной платы, начислений на неё производится в следующим за отчётным месяце.</t>
  </si>
  <si>
    <t>Проведение 11 социально-значимых мероприятия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</si>
  <si>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</si>
  <si>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</si>
  <si>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</si>
  <si>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</si>
  <si>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</si>
  <si>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</si>
  <si>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</si>
  <si>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</si>
  <si>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</si>
  <si>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</si>
  <si>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</si>
  <si>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</si>
  <si>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</si>
  <si>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</si>
  <si>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</si>
  <si>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</si>
  <si>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</si>
  <si>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</si>
  <si>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</si>
  <si>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</si>
  <si>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</si>
  <si>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</si>
  <si>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</si>
  <si>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</si>
  <si>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</si>
  <si>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</si>
  <si>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</si>
  <si>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</si>
  <si>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</si>
  <si>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</si>
  <si>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</si>
  <si>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</si>
  <si>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</si>
  <si>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</si>
  <si>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</si>
  <si>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</si>
  <si>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</si>
  <si>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Предоставление мер социальной поддержки различным категориям граждан</t>
  </si>
  <si>
    <t>Предоставление мер социальной поддержки семьям, имеющим детей</t>
  </si>
  <si>
    <t>Доступная среда</t>
  </si>
  <si>
    <t>4</t>
  </si>
  <si>
    <t>5</t>
  </si>
  <si>
    <t>5.1.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</si>
  <si>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</si>
  <si>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</si>
  <si>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Оказание государственной социальной помощи и адресной материальной помощи гражданам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</si>
  <si>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</si>
  <si>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</si>
  <si>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</si>
  <si>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</si>
  <si>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</si>
  <si>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</si>
  <si>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</si>
  <si>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</si>
  <si>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</si>
  <si>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</si>
  <si>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</si>
  <si>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</si>
  <si>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</si>
  <si>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</si>
  <si>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</si>
  <si>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</si>
  <si>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</si>
  <si>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</si>
  <si>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</si>
  <si>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</si>
  <si>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</si>
  <si>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</si>
  <si>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</si>
  <si>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</si>
  <si>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</si>
  <si>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</si>
  <si>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</si>
  <si>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</si>
  <si>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</si>
  <si>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услуг социального обслуживания инвалидам, гражданам пожилого возраста и прочим категориям граждан (содержание учреждений социального обслуживания инвалидов, граждан пожилого возраста и иных категорий граждан)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</si>
  <si>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</si>
  <si>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</si>
  <si>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</si>
  <si>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</si>
  <si>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</si>
  <si>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</si>
  <si>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</si>
  <si>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</si>
  <si>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</si>
  <si>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</si>
  <si>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</si>
  <si>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</si>
  <si>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</si>
  <si>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</si>
  <si>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</si>
  <si>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</si>
  <si>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</si>
  <si>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</si>
  <si>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Предоставление социальных услуг несовершеннолетним, оказавшимся в трудной жизненной ситуации (содержание и обеспечение деятельности детских домов, детских домов-интернатов и социально-реабилитационных центров для несовершеннолетних)</t>
  </si>
  <si>
    <t>1.3.1.</t>
  </si>
  <si>
    <t>1.3.2.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</si>
  <si>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</si>
  <si>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</si>
  <si>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</si>
  <si>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</si>
  <si>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</si>
  <si>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</si>
  <si>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</si>
  <si>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</si>
  <si>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</si>
  <si>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</si>
  <si>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</si>
  <si>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</si>
  <si>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</si>
  <si>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</si>
  <si>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</si>
  <si>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1.5.16.</t>
  </si>
  <si>
    <t>1.5.17.</t>
  </si>
  <si>
    <t>1.5.18.</t>
  </si>
  <si>
    <t>1.5.19.</t>
  </si>
  <si>
    <t>1.5.20.</t>
  </si>
  <si>
    <t>1.5.21.</t>
  </si>
  <si>
    <t>1.5.22.</t>
  </si>
  <si>
    <t>1.5.23.</t>
  </si>
  <si>
    <t>1.5.24.</t>
  </si>
  <si>
    <t>1.5.25.</t>
  </si>
  <si>
    <t>1.5.26.</t>
  </si>
  <si>
    <t>1.5.27.</t>
  </si>
  <si>
    <t>1.5.28.</t>
  </si>
  <si>
    <t>1.5.29.</t>
  </si>
  <si>
    <t>1.5.30.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</si>
  <si>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</si>
  <si>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</si>
  <si>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</si>
  <si>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</si>
  <si>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</si>
  <si>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</si>
  <si>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«Психоневрологический интернат в с. Акшуат»</t>
  </si>
  <si>
    <t>Областное государственное автономное учреждение социального обслуживания «Специальный дом-интернат для престарелых и инвалидов в с. Акшуат»</t>
  </si>
  <si>
    <t>Областное государственное автономное учреждение социального обслуживания «Дом-интернат для престарелых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</si>
  <si>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</si>
  <si>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</si>
  <si>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</si>
  <si>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</si>
  <si>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</si>
  <si>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</si>
  <si>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</si>
  <si>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</si>
  <si>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</si>
  <si>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</si>
  <si>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</si>
  <si>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</si>
  <si>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</si>
  <si>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</si>
  <si>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</si>
  <si>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</si>
  <si>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</si>
  <si>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1.5.31.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</si>
  <si>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</si>
  <si>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1.5.32.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</si>
  <si>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</si>
  <si>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1.5.33.</t>
  </si>
  <si>
    <t>1.5.34.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</si>
  <si>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</si>
  <si>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</si>
  <si>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</si>
  <si>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1.5.36.</t>
  </si>
  <si>
    <t>Предоставление мер социальной поддержки  лицам награжденным знаком «Почетный донор СССР» и «Почетный донор России»</t>
  </si>
  <si>
    <t>1.5.37.</t>
  </si>
  <si>
    <t>1.5.38.</t>
  </si>
  <si>
    <t>1.5.39.</t>
  </si>
  <si>
    <t>1.6.</t>
  </si>
  <si>
    <t>1.7.</t>
  </si>
  <si>
    <t>Мероприятия по организации выплат мер социальной поддержки населению (содержание областных государственных учреждений социальной защиты населения по обеспечению хозяйственного обслуживания)</t>
  </si>
  <si>
    <t>2.1.</t>
  </si>
  <si>
    <t>2.2.</t>
  </si>
  <si>
    <t>2.3.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</si>
  <si>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</si>
  <si>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2.4.</t>
  </si>
  <si>
    <t>2.5.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</si>
  <si>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</si>
  <si>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2.6.</t>
  </si>
  <si>
    <t>2.7.</t>
  </si>
  <si>
    <t>2.8.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</si>
  <si>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</si>
  <si>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2.9.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</si>
  <si>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</si>
  <si>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>2.10.</t>
  </si>
  <si>
    <t>2.10.1.</t>
  </si>
  <si>
    <t>2.10.2.</t>
  </si>
  <si>
    <t>2.10.3.</t>
  </si>
  <si>
    <t>2.10.4.</t>
  </si>
  <si>
    <t>2.10.5.</t>
  </si>
  <si>
    <t xml:space="preserve">Ежемесячная выплата на ребенка до достижения им возраста 3 лет  </t>
  </si>
  <si>
    <t>2.10.6.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</si>
  <si>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</si>
  <si>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2.10.7.</t>
  </si>
  <si>
    <t>2.10.8.</t>
  </si>
  <si>
    <t>2.10.9.</t>
  </si>
  <si>
    <t>2.10.10.</t>
  </si>
  <si>
    <t>2.10.11.</t>
  </si>
  <si>
    <t>2.10.12.</t>
  </si>
  <si>
    <t>2.10.13.</t>
  </si>
  <si>
    <t>2.11.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</si>
  <si>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</si>
  <si>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2.12.</t>
  </si>
  <si>
    <t>2.13.</t>
  </si>
  <si>
    <t>2.14.</t>
  </si>
  <si>
    <t>2.15.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</si>
  <si>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</si>
  <si>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</si>
  <si>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</si>
  <si>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Предоставление соотечественникам единовременного пособия на жилищное обустройство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</si>
  <si>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</si>
  <si>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</si>
  <si>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</si>
  <si>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</t>
  </si>
  <si>
    <t>3.1.1.1.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</si>
  <si>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</si>
  <si>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</si>
  <si>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</si>
  <si>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</si>
  <si>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</si>
  <si>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</si>
  <si>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</si>
  <si>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</si>
  <si>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3.2.</t>
  </si>
  <si>
    <t>3.2.1.</t>
  </si>
  <si>
    <t>3.2.1.1.</t>
  </si>
  <si>
    <t>3.2.1.2.</t>
  </si>
  <si>
    <t>3.3.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</si>
  <si>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</si>
  <si>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</si>
  <si>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</si>
  <si>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</si>
  <si>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</si>
  <si>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</si>
  <si>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</si>
  <si>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</si>
  <si>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4.1.</t>
  </si>
  <si>
    <t>Информирование населения и работодателей о положении на рынке труда</t>
  </si>
  <si>
    <t>Организация ярмарок вакансий и учебных рабочих мест</t>
  </si>
  <si>
    <t>Организация профессиональной ориентации граждан в целях выбора сферы деятельности (профессии), трудоустройства, профессионального обучения</t>
  </si>
  <si>
    <t xml:space="preserve">Профессиональное обучение и дополнительное профессиональное образование безработных граждан, включая обучение в другой местности </t>
  </si>
  <si>
    <t>Профессиональное обучение и дополнительное профессиональное образование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</si>
  <si>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Организация проведения оплачиваемых общественных работ</t>
  </si>
  <si>
    <t>Социальная адаптация безработных граждан на рынке труда</t>
  </si>
  <si>
    <t xml:space="preserve">Мероприятия в области социального партнёрства </t>
  </si>
  <si>
    <t>Мероприятия, направленные на снижение напряжённости на рынке труда, среди незанятых инвалидов</t>
  </si>
  <si>
    <t xml:space="preserve">Информационное сопровождение реализации мероприятий </t>
  </si>
  <si>
    <t xml:space="preserve">Средства на реализацию мероприятий, направленных на снижение напряжённости на рынке труда среди незанятых инвалидов  </t>
  </si>
  <si>
    <t>Организация опережающего профессионального обучения в организациях производственной сферы, осуществляющих реструктуризацию и модернизацию производства</t>
  </si>
  <si>
    <t>Улучшение условий и охраны труда</t>
  </si>
  <si>
    <t>Организация и проведение месячника охраны труда</t>
  </si>
  <si>
    <t xml:space="preserve">Организация и проведение областных конкурсов по охране труда </t>
  </si>
  <si>
    <t>Мероприятия по реализации прав граждан на труд и создание благоприятных условий для обеспечения занятости населения (обеспечение деятельности областных государственных казённых учреждений центров занятости населения)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</si>
  <si>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</si>
  <si>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</si>
  <si>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</si>
  <si>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</si>
  <si>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</si>
  <si>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</si>
  <si>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</si>
  <si>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</si>
  <si>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</si>
  <si>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</si>
  <si>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4.2.</t>
  </si>
  <si>
    <t>4.2.1.</t>
  </si>
  <si>
    <t>4.2.1.1.</t>
  </si>
  <si>
    <t>4.2.1.2.</t>
  </si>
  <si>
    <t>4.2.2.</t>
  </si>
  <si>
    <t>4.2.3.</t>
  </si>
  <si>
    <t>4.3.</t>
  </si>
  <si>
    <t>4.4.</t>
  </si>
  <si>
    <t>4.5.</t>
  </si>
  <si>
    <t>4.5.1.</t>
  </si>
  <si>
    <t>4.5.2.</t>
  </si>
  <si>
    <t>4.6.</t>
  </si>
  <si>
    <t>4.7.</t>
  </si>
  <si>
    <t>Организация временного трудоустройства несовершеннолетних граждан в возрасте от 14 до 18 лет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профессионального и среднего профессионального образования, ищущих работу впервые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</si>
  <si>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 и прошедшим профессиональное  обучение и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</si>
  <si>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</si>
  <si>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</si>
  <si>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Предоставление субсидий из областного бюджета Ульяновской области на возмещение затрат юридических лиц, индивидуальных предпринимателей на оборудование (оснащение) рабочих мест для незанятых инвалидов, в том числе инвалидов, использующих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</si>
  <si>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</si>
  <si>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</si>
  <si>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</si>
  <si>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6.2.</t>
  </si>
  <si>
    <t>Организационные мероприятия: разработка программы энергосбережения и повышения энергетической эффективности, проведение энергетических обследований с оформлением энергетических паспортов</t>
  </si>
  <si>
    <t>6.3.</t>
  </si>
  <si>
    <t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(ОГАУСО «Реабилитационный центр для инвалидов молодого возраста «Сосновый бор» в р. Вешкайма», ОГКУСО «Социально-реабилитационный центр для несовершеннолетних «Причал надежды» в г. Ульяновске»)</t>
  </si>
  <si>
    <t xml:space="preserve"> «Обеспечение реализации государственной программы»</t>
  </si>
  <si>
    <t>Правительство Ульяновской области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</si>
  <si>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</si>
  <si>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</si>
  <si>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</si>
  <si>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</si>
  <si>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</si>
  <si>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</si>
  <si>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</si>
  <si>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</si>
  <si>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Ерганова Лариса Ивановна, референт отдела трудовых отношений, охраны труда и социального партнёрства, тел. 41-72-04.</t>
  </si>
  <si>
    <t>Ковальчук Виктор Иванович, референт отдела трудовой миграции, тел. 41-72-07.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</si>
  <si>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</si>
  <si>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</si>
  <si>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</si>
  <si>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</si>
  <si>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 xml:space="preserve"> Лаптев Николай Викторович, референт отдела профобучения, профориентации, тел. 41-72-03.</t>
  </si>
  <si>
    <t xml:space="preserve"> Аисова Гузель Равильевна, референт отдела со слабозащищёнными категориями граждан, тел. 42-16-75.</t>
  </si>
  <si>
    <t>Хмелевских Андрей Алексеевич, зам.директора – начальник отдела трудовых отношений, охраны труда и социального партнерства, тел. 41-17-20</t>
  </si>
  <si>
    <t xml:space="preserve"> Фирстаев Владимир Сергеевич, тел. 41-72-06 </t>
  </si>
  <si>
    <t xml:space="preserve">Фирстаев Владимир Сергеевич, тел. 41-72-06 </t>
  </si>
  <si>
    <t>Лаптев Николай Викторович, референт отдела профобу-чения, профориентации, тел. 41-72-03.</t>
  </si>
  <si>
    <t>Планируемый объем финансирования, тыс. руб.*</t>
  </si>
  <si>
    <t>Предоставленное финансирование, тыс. руб.**</t>
  </si>
  <si>
    <t>*средства предусмотрены в Государственной программе "Социальная поддержка и защита населения Ульяновской области на 2014-2018 годы" на 2014 год для выполнения данных мероприятий</t>
  </si>
  <si>
    <t>**средства предусмотрены в областном бюджете Ульяновской области на 2014 год для выполнения данных мероприятий</t>
  </si>
  <si>
    <t>Габбасова Наталья Николаевна, директор департамента охраны прав несовершеннолетних,тел. 44-95-71</t>
  </si>
  <si>
    <t xml:space="preserve">Департамент социальной защиты населения, заместитель директора департамента Нафеева Еленая Анатольевнаа, тел.44-12-85 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</si>
  <si>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</si>
  <si>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</si>
  <si>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</t>
  </si>
  <si>
    <t>1.8.</t>
  </si>
  <si>
    <t>Предоставление услуг социального обслуживания инвалидам, гражданам пожилого возраста и прочим категориям граждан некоммерческими организациями не являющимися государственными (муниципальными) учреждениями, индивидуальными предпринимателями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</si>
  <si>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</si>
  <si>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</si>
  <si>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>Федеральный закон от 01.12.2014 № 384-ФЗ "О федеральном бюджете на 2015 год и на плановый период 2016 и 2017 годов"</t>
  </si>
  <si>
    <t>Соглашение между Правительстом УО и Минтрудом РФ от 18.02.2015 №12-12/666/46</t>
  </si>
  <si>
    <t xml:space="preserve">Директор департамента методологии и организации социальных выплат и 
жилищных субсидий А.А.Адонин
</t>
  </si>
  <si>
    <t>Директор департамента методологии и организации социальных выплат и 
жилищных субсидий А.А.Адонин</t>
  </si>
  <si>
    <t>Правительство Ульяновской области в (Директор ОГКУСО "Центр социально-психологической помощи семье и детям  "Семья" в г. УльяновскеЛ.А.Миронова)</t>
  </si>
  <si>
    <t xml:space="preserve"> Директор ОГКУСО "Центр социально-психологической помощи семье и детям  "Семья" в г. Ульяновске Л.А.Миронова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</si>
  <si>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</si>
  <si>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</si>
  <si>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</si>
  <si>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</si>
  <si>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 xml:space="preserve">Доля семей, имеющих детей, с доходом ниже величины прожиточного минимума, установленного в Ульяновской области, в общем количестве семей, имеющих детей, процентов 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</si>
  <si>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</si>
  <si>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</si>
  <si>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</si>
  <si>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</si>
  <si>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</si>
  <si>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</si>
  <si>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</si>
  <si>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Министерству здравоохранения и социального развития Ульяновской области, к уровню 2009 года (в сопоставимых условиях), процентов</t>
  </si>
  <si>
    <t>1) прием документов; 2) подготовка распорядительного документа; 3) предоставление выплаты. Выплата пособия по погребению 450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</si>
  <si>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15 гражданам </t>
  </si>
  <si>
    <t>1) прием документов; 2) подготовка распорядительного документа; 3) предоставление выплатыОказание мер социальной поддержки 96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</si>
  <si>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488 гражданам</t>
  </si>
  <si>
    <t>1) прием документов; 2) подготовка распорядительного документа; 3) предоставление выплаты. Выплата пособий 1401 лицу, страдающему психическим расстройством, находящемуся в трудной жизненной ситуации</t>
  </si>
  <si>
    <t xml:space="preserve">Ежемесячное предоставление материального обеспечения 2 вдов. 1. Ежемесячное формирование выплатных  документов на Сбербанк. </t>
  </si>
  <si>
    <t>1) прием документов; 2) подготовка распорядительного документа; 3) предоставление выплаты. Единовременная выплата 20 гражданам</t>
  </si>
  <si>
    <t>1) прием документов; 2) подготовка распорядительного документа; 3) предоставление выплаты. Компенсация перевозчикам 10260 отдельных категорий граждан</t>
  </si>
  <si>
    <t>1) прием документов; 2) подготовка распорядительного документа; 3) предоставление выплаты. Ежемесячная компенсация 960 гражданам</t>
  </si>
  <si>
    <t>1) прием документов; 2) подготовка распорядительного документа; 3) предоставление выплаты. Ежемесячная выплата 236  жёнам граждан, уволенных с военной службы</t>
  </si>
  <si>
    <t>1) прием документов; 2) подготовка распорядительного документа; 3) предоставление выплаты. Ежемесячная компенсация 326764 отдельным категориям граждан</t>
  </si>
  <si>
    <t>1) прием документов; 2) подготовка распорядительного документа; 3) предоставление выплаты. ежемесячная выплата 1 гражданину</t>
  </si>
  <si>
    <t>Сопровождение программного продукта по расчёту выплат мер социальной поддержки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</si>
  <si>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20 отдельных категорий специалистов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</si>
  <si>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23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</si>
  <si>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2629 добровольным пожарным</t>
  </si>
  <si>
    <t>Предоставление мер социальной поддержки 94443 ветеранам труда.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</si>
  <si>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выплаты. Предоставление мер социальной поддержки 355 труженикам тыла</t>
  </si>
  <si>
    <t>Предоставление мер социальной поддержки 966  реабилитированным лицам и лицам, пострадавшим от политических репрессий. По оплатем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</si>
  <si>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За 9 месяцев ежемесячная денежная компенсация на оплату жилого помещения и коммунальных услуг предоставлена 2231 гражданам в полном объёме (получатели являются убывающей категорией льготников)</t>
  </si>
  <si>
    <t xml:space="preserve">Количество получателей составляет 96 человек, что составляет 81% от расчётного количества (всем обратившимся гражданам выплата предоставляется в полном объёме) </t>
  </si>
  <si>
    <t>ежемесячные выплаты на проезд произведены 23849 детям-сиротам и детям, оставшимся без попечения родителей в полном объёме.</t>
  </si>
  <si>
    <t>Предоставление единовременного пособия осуществляется на заявительной основе. По состоянию на 01.10.2015 приняты документы для выплаты единовременного пособия на 28 усыновлённых детей, приняты решения о назначении пособия на 27 усыновлённых детей</t>
  </si>
  <si>
    <t>Выдано 11 сертификатов на проведение ремонта жилых помещений</t>
  </si>
  <si>
    <t>На 01.10.2015 произведена единовременная социальная выплата на приобретение жилья 10 государственным гражданским служащим</t>
  </si>
  <si>
    <t>реализация выданных свидетельств о предоставлении социальной выплаты на приобретение жилья</t>
  </si>
  <si>
    <t xml:space="preserve">Реализовано 20 свидетельств о предоставлении социальной выплаты на приобретение жилья из 41 выданного свидетельства (проверка документов, подготовка распоряжения о перечислении денежных средств, перечисление денежных средств)  </t>
  </si>
  <si>
    <t xml:space="preserve">осуществлена проверка и включено 255 граждан в список на получение свидетельств; выдано 308 свидетельств о предоставлении единовременных выплат. Реализовано 267 свидетельств </t>
  </si>
  <si>
    <t>Осуществлена проверка 4510 документов граждан. Выдано 3519 государственных сертификатов  на именной капитал "Семья" . Реализовано 991 сертификат, выданных в 2008-2013 годах</t>
  </si>
  <si>
    <t>ОГУК "Облстройзаказчик" документация размещена на сайте закупок 06.10.15 , дата проведения аукциона - 19.10.15</t>
  </si>
  <si>
    <t>ОГУК "Облстройзаказчик" документация размещена на сайте 09.10.2015, дата проведения аукциона 30.10.15</t>
  </si>
  <si>
    <t xml:space="preserve">09.10.2015 проведен аукцион на ремонтные работы по благоустройству корпусов и территории на 3,0 млн.руб., на 20.10.2015 запланировано заключение контракта между ОГУК "Ульяновскоблстройзаказчик" и ООО "Симбирск-Строй-Консалт"  </t>
  </si>
  <si>
    <t>Заключен договор от 02.04.2015 на сумму 50,0 т.р. на услуги по применению жестового языка для родителей детей-инвалидов с нарушением слуха</t>
  </si>
  <si>
    <t>Заключен договор от 30.01.2015 №0/12-17  с ООО "Арт-Профи" на сумму 50,0 т.р. на услуги по проведению информационно-просветительской компании</t>
  </si>
  <si>
    <t>заключены договоры: договор от 14.09.15 № 0/12-18 на сумму 10,0 т.р. на поставку подарков для инвалидов в рамках месячника "Белая трость", договор от 03.08.2015 № 0/12-5 на сумму 10,0 т.р. на поставку телевизора для вручения ООО ВОГ""</t>
  </si>
  <si>
    <t>заключен договор от 05.02.2015 №0/12-20 с ИП Алексеева Н.А. на сумму 25,0 т.р. на оказание услуг по пассажирским перевозкам участников спортивного фестиваля среди слепых, проводимого в г. Каань</t>
  </si>
  <si>
    <t>Заключен договор с ООО "Фиеста" от 11.09.2015 № 0/12-16 на проведение летней спартакиады на сумму 60,0 т.р.</t>
  </si>
  <si>
    <t>ОГКУСО "Дом-интернат для престарелых и инвалидов в г. Новоульновске: заключен договор от 10.08.2015 с ООО "ЦППА НН" на приобретение автомобиля ГАЗ-2705 для перевозки инвалидов на сумму 974,155 т.р., Автомобиль поставлен на учет 08.09.2015.   ОГАУСО СДИ Акшуат: открытый аукцион в электронной форме - 22.10.2015, подведение итогов 23.10.2015 ; ПНИ Акшуат - объявлен конкурс</t>
  </si>
  <si>
    <t>Численность получателей государственных услуг 19924</t>
  </si>
  <si>
    <t>Оказание проф.ориентационной поддержки 3797 чел.</t>
  </si>
  <si>
    <t>На временные работы планируется трудоустроить 1553 человек, из них: несовершеннолетних гр. от 14до18 лет-1503, безработных гр. от 18до 20 лет-10, безработных гр. испытывающих трудности-40</t>
  </si>
  <si>
    <t>Государственные услуги по социальной адаптации оказаны 275 безработным гражданам.</t>
  </si>
  <si>
    <t xml:space="preserve">В соответствии с коллегиальным решением, принятым подкомиссией по вопросу оптимизации затрат на содержание государственных и муниципальных органов власти под председательством А.В.Озернова и на основании письма от 11.06.2015 №373 вн проведение конкурсов им. М.И.Лимасова и ежегодного областного этапа всероссийского конкурса "Р.О.В.С.Э." в 2015 году приостановлено. </t>
  </si>
  <si>
    <t>За второй квартал 2015 года трудоустроено 75 незанятых инвалидов на оборудованные (оснащённые) рабочие места.</t>
  </si>
  <si>
    <t>Была размещена информация в СМИ по вопросам  содействие в  трудоустройстве незанятым инвалидам: 5 роликов на ТВ, изготовлено 12127 буклетов.</t>
  </si>
  <si>
    <t>Трудоустроено 75 незанятых инвалидов на оборудованные (оснащённые) рабочие места.</t>
  </si>
  <si>
    <t xml:space="preserve">В третьем квартале приступили к профессиональному обучению  130 женщин, находящихся в отпуске по уходу за ребёнком до достижения им возраста трёх лет. </t>
  </si>
  <si>
    <t>Исполнение по финаснированию состваляет 71,0% от плана. Выплата заработной платы, начислений на неё, оплата коммунальных услуг и прочих расходов производится в следующим за отчётным месяце.</t>
  </si>
  <si>
    <t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3 квартал 2015 года получили 6170 человек, в том числе 5151 человек получили пособие по безработице, 689 человек – стипендию, 112 человек – материальную помощь,  досрочную пенсию – 218 человек.</t>
  </si>
  <si>
    <t xml:space="preserve">По состоянию на 01.10.2015 численность безработных граждан, зарегистрированных в государственных учреждениях службы занятости населения, составила 3614 человек. Уровень регистрируемой безработицы составил 0,55%. </t>
  </si>
  <si>
    <t>За 3 квартал 2015 года трудоустроено 75 незанятых инвалидов. Дальнейшее трудоустройство инвалидов на специально оборудованных рабочие места будет проходить согласно установленному сетевому плану-графику.</t>
  </si>
  <si>
    <t xml:space="preserve">В Ульяновской области увеличилось количество, аккредитованных  организаций оказывающих услуги по обучению по охране труда (с 13 в 2014 году  до 17 организаций в 2015 году) </t>
  </si>
  <si>
    <t xml:space="preserve">Количество получателей государственных услуг  от общегодового показателя не отклонён. </t>
  </si>
  <si>
    <t>В 3 квартале 2015 года в организациях Ульяновской области пострадало 81 человек, что в 1,7  раза меньше запланированного.</t>
  </si>
  <si>
    <t>Изготовлено 6000 буклетов по информированию соотечественников о программе переселения.</t>
  </si>
  <si>
    <t>Причина перевыполнения планового показателяв том, что программа пользуется большой популярностью среди молодёжи. За 3 квартал в программе приняло участие 81 человек</t>
  </si>
  <si>
    <t>Уровень достижения плановых значений целевых индикаторов государственной программы по итогам 9 месяцев 2015 года составляет 95 процентов</t>
  </si>
  <si>
    <t>За 9 месяцев субсидии на оплату жилого помещения и коммунальных услуг предоставлены 32458 получателям, что составляет 91,5% от запланированного</t>
  </si>
  <si>
    <t>За 9 месяцев компенсации на оплату жилого помещения и коммунальных услуг предоставлены 11860 получателям, что составляет 72% от запланированного</t>
  </si>
  <si>
    <t>За 9 месяцев 2015 года выплата ЕДК представлена 98804 ветеранам в полном объёме, что составляет 99,5%  от запланированной .</t>
  </si>
  <si>
    <t>За 9 месяцев меры социальной поддержки представлены 283 труженникам в полном объёме, что  составляет 85%  от запланированной .</t>
  </si>
  <si>
    <t>За 9 месяцев меры социальной поддержки представлены 906 реабилитированным гражданам в  полном объёме, что  составляет 93%  от запланированной .</t>
  </si>
  <si>
    <t>За 9 месяцев выплаты ЕДК представлены 116250  ветеранам в  полном объёме, что  составляет 95%  от запланированной .</t>
  </si>
  <si>
    <t>Меры социальной поддержки предоставлены 142 гражданам, что составляет 103% от запланированного.</t>
  </si>
  <si>
    <t>Меры социальной поддержки предоставлены 705 гражданам, что составляет 98%.</t>
  </si>
  <si>
    <t>За 9 месяцев ежемесячная денежная компенсация на оплату жилого помещения и отдельных видов коммунальных услуг предоставлена 12334 педагогическим работникам сельской местности, что составляет 106% от запланированного количества получателей .</t>
  </si>
  <si>
    <r>
      <t>За 9 месяцев за компенсацией обратилось 8431 чел.</t>
    </r>
    <r>
      <rPr>
        <sz val="10"/>
        <color indexed="8"/>
        <rFont val="Times New Roman"/>
        <family val="1"/>
        <charset val="204"/>
      </rPr>
      <t xml:space="preserve"> Задолженности перед получателями нет.</t>
    </r>
  </si>
  <si>
    <t>За 9 месяцев меры социальной поддержки представлены 91 инвалиду в  полном объёме, что  составляет 108,1%  от запланированной .</t>
  </si>
  <si>
    <t>За 9 месяцев меры социальной поддержки представлены 475 гражданам в полном объёме, что составляет 106,8%  от запланированной.</t>
  </si>
  <si>
    <t xml:space="preserve">льготным проездом воспользовалось 10255 федеральных льготников, что составляет 76,9% </t>
  </si>
  <si>
    <t>За 9 месяцев меры социальной поддержки представлены 214 гражданам в полном объёме, что  составляет 102,5% от запланированной.</t>
  </si>
  <si>
    <t>получателями компенсационных выплат являются 520 человека, что составляет 62,1% от запланированного количества получателей (уменьшение количества получателей связано с газификацией отдельных жилых помещений)</t>
  </si>
  <si>
    <t>В первом полугодии  меры социальной поддержки представлены 228 человек в  полном объёме.</t>
  </si>
  <si>
    <t>ежемесячную денежную компенсацию на оплату жилого помещения и коммунальных услуг получают 329781 чел. (88,4%)</t>
  </si>
  <si>
    <t>За 9 месяцев ежегодная денежная  выплата представлена 98808 гражданам в полном объёме, что  составляет 100,9% от запланированной.</t>
  </si>
  <si>
    <t>За 9 месяцев меры социальной поддержки  представлены 216 гражданам в полном объёме, что составляет 56,3% от запланированной.</t>
  </si>
  <si>
    <t>В первом полугодии меры социальной поддержки  представлены 11чел. в  полном объёме, что  составляет 49,7%  от запланированной .</t>
  </si>
  <si>
    <t>За 9 месяцев меры социальной поддержки представлены 2158 гражданам в полном объёме, что составляет 52% от запланированной.</t>
  </si>
  <si>
    <t>За 9 месяцев ежегодная денежная  выплата представлена 8022 человекам в полном объёме, что составляет 121% от запланированной.</t>
  </si>
  <si>
    <t>За 9 месяцев ежемесячная денежная  выплата представлена 12 гражданам в полном объёме, что составляет 100% от запланированной.</t>
  </si>
  <si>
    <t>За 9 месяцев ежемесячная денежная  выплата представлена 118807 человек в полном объёме, что составляет 60,4% от запланированной.</t>
  </si>
  <si>
    <t>За 9 месяцев ежегодная денежная выплата представлена 29 человекам в полном объёме.</t>
  </si>
  <si>
    <t>Исполнение по финаснированию состваляет 74,3 % от плана. Выплата заработной платы, начислений на неё, оплата коммунальных услуг и прочих расходов производится в следующим за отчётным месяце.</t>
  </si>
  <si>
    <t>Исполнение по финаснированию состваляет 73,0% от плана. Выплата заработной платы, начислений на неё, оплата коммунальных услуг и прочих расходов производится в следующим за отчётным месяце.</t>
  </si>
  <si>
    <t xml:space="preserve">Областным государственным автономным учреждением социального обслуживания "Социально-реабилитационный центр им. Е.М. Чучкалова" подготовлены документы к оплате по укреплению материально-технической базы. 
Ремонтные работы в Областном государственном автономном учреждении социального обслуживания "Дом-интернат для престарелых и инвалидов "Союз" в с. Бригадировка" выполнены с замечаниями. После устранения недостатков документы будут переданы на оплату.
</t>
  </si>
  <si>
    <t>Министерством строительства, жилищно-коммунального комплекса и транспорта Ульяновской области объявлен конкурс на реконструкцию незавершенного строительстом здания ОГКУСО «Пансионат для граждан пожилого возраста в р.п.Языково» и оснащение его технологическим оборудованием. По итогам конкурсной комиссии ОГКУ «Ульяновскогоблстройзаказчик» определён победитель ООО «Ульяновск Центр Газ Строй», ориентировочная дата заключения контракта 26.10.2015 года.</t>
  </si>
  <si>
    <t>Меры социальной поддержки представлены 17058 гражданам в полном объёме, что составляет 82,7% от запланированной.</t>
  </si>
  <si>
    <t>Возмещены расходы 12 детям-сиротам и детям, оставшимся без попечения родителей в полном объёме.</t>
  </si>
  <si>
    <t>За 9 месяцев меры социальной поддержки  представлены 54207 человек в  полном объёме, что  составляет 96,5%  от запланированной. Задолженности перед получателями нет.</t>
  </si>
  <si>
    <r>
      <t>За 9 месяцев меры социальной поддержки  представлены 3901 гражданам в полном объёме</t>
    </r>
    <r>
      <rPr>
        <sz val="10"/>
        <color indexed="8"/>
        <rFont val="Times New Roman"/>
        <family val="1"/>
        <charset val="204"/>
      </rPr>
      <t>. Задолженности перед получателями нет.</t>
    </r>
  </si>
  <si>
    <t>За 9 месяцев меры социальной поддержки  представлены 195 человек в  полном объёме, что  составляет 61%  от запланированной .</t>
  </si>
  <si>
    <t>Исполнение по финаснированию состваляет 67,5% от плана. Выплата заработной платы, начислений на неё, оплата коммунальных услуг и прочих расходов производится в следующим за отчётным месяце.</t>
  </si>
  <si>
    <t>Содержание центра,  оказание Психолого-педагогическая помощь гражданам в трудной жизненной ситуации и семьям в социально-опасном положении 17027,4 чел.дн.(181,4% от плана) Психологическая коррекция нарушений общения и искажений в психическом развитии у детей и отдельных граждан 4329,9 чел. дн. (98,9 % от плана). Организация работы телефона экстренной психологической помощи 2190 часов.(100% от плана)  Организационно-методическая работа 475 часа(97,7% от плана).</t>
  </si>
  <si>
    <t>1) прием  и проверка документов; 2) поучатель берёт направыление в организации с которой заключен договор на изготовление изделий;3)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1100 лицам, не имеющим инвалидности, но по медицинским показаниям нуждающимся в них</t>
  </si>
  <si>
    <t>1) заключены договора с 4 поставщиками на потавку протезно-ортопедических изделий
2) прием  и проверка документов от граждан;  3) получатель берёт направление в организации с которой заключен договор на изготовление изделий;4) по факту изготовления изделий в органы социальной защиты поставщиками предоставляется реестр получателей изделий; 5) на основании реестра учреждение социальной защиты оплачивает произведённые изделия. Приобретено протезно-ортопедических изделий 1357 лицамне имеющим инвалидности в т.ч. лица ставшие на очередь в 2014 году,  но по медицинским показаниям нуждающимся в них. Кассовый расход на 01.10.2015 г. 12830877.14 руб.</t>
  </si>
  <si>
    <t xml:space="preserve">Количество инвалидов обеспеченых больше запланированного.т.к. произошло удешевление средней цены продукции. т.к. возрасла конкуренция между поставщиками. </t>
  </si>
  <si>
    <t xml:space="preserve">Проведено 13  социально-значимых мероприятия (День освобождения Ленинграда от блокады", день окончания Сталинградской битвы, Областной турнир среди воспитанников детских домой "Хоккей с мячём", Проведение "Дня памяти о  россиянах, исполняющих свой долг ", проведение мероприятия  "День памяти погибшим на Чернобыльской АЭС", проведение митинга посвящённого 2Дню освобождения узников фашизма", фестиваль "Храните детские сердца", проведение акции "Помоги собраться в школу", проведение мероприятия "День социального работника",Мероприятие, посвящённое Дню памяти и скорби-дню начала ВОВ, мероприятие, посвящённое Дню партизан и подпольщиков, Мероприятие, посвящённое Дню окончания Курской битвы,  Мероприятие, посвящённое Дню окончания Второй мировой войны). </t>
  </si>
  <si>
    <t>субвенции для осуществления деятельности по опеке и попечительству для 23 МО, процент выполнения 102,9 %</t>
  </si>
  <si>
    <t>За первое полугодие 2015 г.выплачено 74095 пособий по уходу за ребенком до достижения им 1,5 лет. Численность получателей составила 10701 чел.</t>
  </si>
  <si>
    <t>Меры социальной поддержки предоставлены 18 специалистам.</t>
  </si>
  <si>
    <t>На 01.01.2015 значение целевого индикатора составило 80,8 %, на 01.10.2015 - 83,0 % (целевой индикатор перевыполнен)</t>
  </si>
  <si>
    <t>Единовременное пособие выплачено на 211 детей, процент выполнения 87,2</t>
  </si>
  <si>
    <t>Отчёт об исполнении плана -  графика реализации государственной программы по итогам 9 месяцев  2015 года</t>
  </si>
  <si>
    <t>реализация мероприятий запланирована на 4 квартал, в настоящее время проводятся конкурсные процедуры</t>
  </si>
  <si>
    <t xml:space="preserve">                                                          </t>
  </si>
  <si>
    <r>
      <t xml:space="preserve">Потребление объемов энергетических ресурсов за 9 месяцев 2015 года снижены по отношению к 9 месяцам 2009 года </t>
    </r>
    <r>
      <rPr>
        <sz val="10"/>
        <color rgb="FFFF0000"/>
        <rFont val="Times New Roman"/>
        <family val="1"/>
        <charset val="204"/>
      </rPr>
      <t>на 16 процентов</t>
    </r>
  </si>
  <si>
    <t>ОГКОУ Детский дом "Соловьиная роща" на ремонт межпанельных швов и замену оконных блоков израсходовано 250,0 тыс. руб.,  и ОГКОУ Ульяновский детский дом "Гнёздышко" на сумму 120,0 тыс.рублей, ОГКОУ "Планета детства" - 130,0 тыс. руб. -установлены энергосберегающие светильники, приборов учёта теплаи пластиковые окна, , ОГКУСО «Социально-реабилитационный центр для несовершеннолетних «Причал надежды» в г. Ульяновске» произведена замена окон на пластиковые в общей сумме 994,980 тыс. руб., ОГАУСО «Реабилитационный центр для инвалидов молодого возраста «Сосновый бор» в р. Вешкайма» - 344,309 тыс. рублей</t>
  </si>
  <si>
    <t xml:space="preserve">Проведение мероприятий поь повышению тепловой защиты здания: утепление стен зданий и установка трйного остекленения в учреждениях ОГКОУ Детский дом "Соловьиная роща" и ОГКОУ Ульяновский детский дом "Гнёздышко" на сумму 250,0 тыс.рублей,ОГКОУ "Планета детства" - 130,0 тыс. руб.,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т.д.)в ОГАУСО «Реабилитационный центр для инвалидов молодого возраста «Сосновый бор».  </t>
  </si>
  <si>
    <t xml:space="preserve"> </t>
  </si>
  <si>
    <t>Обеспечение деятельности центрального аппарата и его территориальных органов</t>
  </si>
  <si>
    <t>убывающая категория</t>
  </si>
  <si>
    <t>Органами службы занятости населения  проведено 231 ярмарок вакансий.  В организации и проведении ярмарок вакансий приняли участие 1189 работодателей. Всего ярмарки вакансий посетили 24670 граждан.</t>
  </si>
  <si>
    <t>Получили единовременную финансовую помощь на открытие собственного дела и единовременную финансовую помощь на подготовку документов 42 безработных гражданина</t>
  </si>
  <si>
    <t>Ирина</t>
  </si>
  <si>
    <t xml:space="preserve">В третьем квартале 2015 года трудоустроено на общественные работы 1141  человек, из них 807 – безработные. </t>
  </si>
  <si>
    <t xml:space="preserve">Услуги по информированию оказаны 6903 гражданам, в т.ч. 5637 -  безработным гражданам, 1266 – работодателям.  </t>
  </si>
  <si>
    <r>
      <t xml:space="preserve">Всего численность получателей госуслуг за 3 квартал 2015 года составила </t>
    </r>
    <r>
      <rPr>
        <sz val="10"/>
        <color rgb="FFFF0000"/>
        <rFont val="Times New Roman"/>
        <family val="1"/>
        <charset val="204"/>
      </rPr>
      <t>21277</t>
    </r>
  </si>
  <si>
    <t>исправ</t>
  </si>
  <si>
    <r>
      <t>Организация профориентационной работы выстроена с учётом потребности рынка труда. Услуги профориентации оказаны</t>
    </r>
    <r>
      <rPr>
        <sz val="10"/>
        <color rgb="FFFF0000"/>
        <rFont val="Times New Roman"/>
        <family val="1"/>
        <charset val="204"/>
      </rPr>
      <t xml:space="preserve"> 2431 </t>
    </r>
    <r>
      <rPr>
        <sz val="10"/>
        <color indexed="8"/>
        <rFont val="Times New Roman"/>
        <family val="1"/>
        <charset val="204"/>
      </rPr>
      <t>человек.</t>
    </r>
  </si>
  <si>
    <r>
      <t xml:space="preserve">Работа проводилась с учётом потребностей рынка труда и выбора востребованных профессий. Профессиональное обучение и дополнительное профобразование получили </t>
    </r>
    <r>
      <rPr>
        <sz val="10"/>
        <color rgb="FFFF0000"/>
        <rFont val="Times New Roman"/>
        <family val="1"/>
        <charset val="204"/>
      </rPr>
      <t xml:space="preserve"> 254 ч</t>
    </r>
    <r>
      <rPr>
        <sz val="10"/>
        <color indexed="8"/>
        <rFont val="Times New Roman"/>
        <family val="1"/>
        <charset val="204"/>
      </rPr>
      <t>еловек.</t>
    </r>
  </si>
  <si>
    <r>
      <t xml:space="preserve">Профессиональное обучение и дополнительное профессиональное образование прошли </t>
    </r>
    <r>
      <rPr>
        <sz val="10"/>
        <color rgb="FFFF0000"/>
        <rFont val="Times New Roman"/>
        <family val="1"/>
        <charset val="204"/>
      </rPr>
      <t xml:space="preserve">31 </t>
    </r>
    <r>
      <rPr>
        <sz val="10"/>
        <color indexed="8"/>
        <rFont val="Times New Roman"/>
        <family val="1"/>
        <charset val="204"/>
      </rPr>
      <t>незанятых граждан, которым назначена страховая пенсия по старости</t>
    </r>
  </si>
  <si>
    <r>
      <t xml:space="preserve">На временные работы трудоустроено 2318 человек. Несовершеннолетних граждан от 14 до18 лет - </t>
    </r>
    <r>
      <rPr>
        <sz val="10"/>
        <color rgb="FFFF0000"/>
        <rFont val="Times New Roman"/>
        <family val="1"/>
        <charset val="204"/>
      </rPr>
      <t xml:space="preserve"> 2267 ч</t>
    </r>
    <r>
      <rPr>
        <sz val="10"/>
        <color indexed="8"/>
        <rFont val="Times New Roman"/>
        <family val="1"/>
        <charset val="204"/>
      </rPr>
      <t xml:space="preserve">еловек, безработных граждан от 18 до 20 лет – 9 человек, безработных граждан испытывающих трудности – </t>
    </r>
    <r>
      <rPr>
        <sz val="10"/>
        <color rgb="FFFF0000"/>
        <rFont val="Times New Roman"/>
        <family val="1"/>
        <charset val="204"/>
      </rPr>
      <t xml:space="preserve">42 </t>
    </r>
    <r>
      <rPr>
        <sz val="10"/>
        <color indexed="8"/>
        <rFont val="Times New Roman"/>
        <family val="1"/>
        <charset val="204"/>
      </rPr>
      <t>человека.</t>
    </r>
  </si>
  <si>
    <t>уточнить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</si>
</sst>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9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6">
    <xf numFmtId="0" fontId="0" fillId="0" borderId="0"/>
    <xf numFmtId="169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97">
    <xf numFmtId="0" fontId="0" fillId="0" borderId="0" xfId="0"/>
    <xf numFmtId="0" fontId="7" fillId="0" borderId="0" xfId="0" applyFont="1" applyFill="1"/>
    <xf numFmtId="0" fontId="13" fillId="0" borderId="0" xfId="0" applyFont="1" applyFill="1"/>
    <xf numFmtId="0" fontId="7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/>
    <xf numFmtId="0" fontId="19" fillId="0" borderId="1" xfId="0" applyNumberFormat="1" applyFont="1" applyFill="1" applyBorder="1"/>
    <xf numFmtId="4" fontId="19" fillId="0" borderId="1" xfId="0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/>
    <xf numFmtId="0" fontId="19" fillId="0" borderId="1" xfId="0" applyFont="1" applyFill="1" applyBorder="1" applyAlignment="1">
      <alignment horizontal="justify" vertical="center" wrapText="1"/>
    </xf>
    <xf numFmtId="4" fontId="13" fillId="0" borderId="2" xfId="0" applyNumberFormat="1" applyFont="1" applyFill="1" applyBorder="1"/>
    <xf numFmtId="0" fontId="13" fillId="0" borderId="2" xfId="0" applyNumberFormat="1" applyFont="1" applyFill="1" applyBorder="1"/>
    <xf numFmtId="0" fontId="19" fillId="0" borderId="2" xfId="0" applyNumberFormat="1" applyFont="1" applyFill="1" applyBorder="1"/>
    <xf numFmtId="0" fontId="13" fillId="0" borderId="3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vertical="center" wrapText="1"/>
    </xf>
    <xf numFmtId="43" fontId="17" fillId="0" borderId="1" xfId="25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vertical="center"/>
    </xf>
    <xf numFmtId="166" fontId="13" fillId="0" borderId="1" xfId="25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43" fontId="13" fillId="0" borderId="1" xfId="25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vertical="center"/>
    </xf>
    <xf numFmtId="0" fontId="13" fillId="0" borderId="1" xfId="0" applyFont="1" applyFill="1" applyBorder="1"/>
    <xf numFmtId="0" fontId="13" fillId="0" borderId="0" xfId="0" applyFont="1" applyFill="1" applyAlignment="1">
      <alignment horizontal="center" vertical="center"/>
    </xf>
    <xf numFmtId="4" fontId="17" fillId="0" borderId="1" xfId="8" applyNumberFormat="1" applyFont="1" applyFill="1" applyBorder="1" applyAlignment="1">
      <alignment vertical="center" wrapText="1"/>
    </xf>
    <xf numFmtId="4" fontId="17" fillId="0" borderId="1" xfId="8" applyNumberFormat="1" applyFont="1" applyFill="1" applyBorder="1" applyAlignment="1">
      <alignment horizontal="justify" vertical="center" wrapText="1"/>
    </xf>
    <xf numFmtId="4" fontId="17" fillId="0" borderId="1" xfId="29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" fontId="20" fillId="0" borderId="1" xfId="8" applyNumberFormat="1" applyFont="1" applyFill="1" applyBorder="1" applyAlignment="1">
      <alignment vertical="center" wrapText="1"/>
    </xf>
    <xf numFmtId="4" fontId="20" fillId="0" borderId="1" xfId="8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29" fillId="0" borderId="1" xfId="0" applyFont="1" applyFill="1" applyBorder="1"/>
    <xf numFmtId="166" fontId="29" fillId="0" borderId="1" xfId="0" applyNumberFormat="1" applyFont="1" applyFill="1" applyBorder="1"/>
    <xf numFmtId="0" fontId="17" fillId="0" borderId="5" xfId="0" applyFont="1" applyFill="1" applyBorder="1" applyAlignment="1">
      <alignment vertical="top" wrapText="1"/>
    </xf>
    <xf numFmtId="0" fontId="17" fillId="0" borderId="2" xfId="29" applyNumberFormat="1" applyFont="1" applyFill="1" applyBorder="1" applyAlignment="1">
      <alignment horizontal="center" vertical="top" wrapText="1"/>
    </xf>
    <xf numFmtId="166" fontId="17" fillId="0" borderId="1" xfId="29" applyNumberFormat="1" applyFont="1" applyFill="1" applyBorder="1" applyAlignment="1">
      <alignment horizontal="center" vertical="center" wrapText="1"/>
    </xf>
    <xf numFmtId="0" fontId="29" fillId="0" borderId="4" xfId="0" applyFont="1" applyFill="1" applyBorder="1"/>
    <xf numFmtId="0" fontId="13" fillId="0" borderId="1" xfId="0" applyFont="1" applyBorder="1" applyAlignment="1">
      <alignment horizontal="right" wrapText="1"/>
    </xf>
    <xf numFmtId="2" fontId="29" fillId="0" borderId="4" xfId="0" applyNumberFormat="1" applyFont="1" applyFill="1" applyBorder="1" applyAlignment="1">
      <alignment horizontal="right"/>
    </xf>
    <xf numFmtId="2" fontId="29" fillId="0" borderId="1" xfId="0" applyNumberFormat="1" applyFont="1" applyFill="1" applyBorder="1" applyAlignment="1">
      <alignment horizontal="right"/>
    </xf>
    <xf numFmtId="0" fontId="17" fillId="0" borderId="6" xfId="0" applyFont="1" applyFill="1" applyBorder="1" applyAlignment="1">
      <alignment vertical="top" wrapText="1"/>
    </xf>
    <xf numFmtId="0" fontId="17" fillId="0" borderId="1" xfId="8" applyFont="1" applyFill="1" applyBorder="1" applyAlignment="1">
      <alignment vertical="center" wrapText="1"/>
    </xf>
    <xf numFmtId="0" fontId="17" fillId="0" borderId="1" xfId="8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/>
    <xf numFmtId="43" fontId="13" fillId="0" borderId="1" xfId="25" applyFont="1" applyFill="1" applyBorder="1" applyAlignment="1">
      <alignment vertical="center"/>
    </xf>
    <xf numFmtId="43" fontId="25" fillId="2" borderId="1" xfId="25" applyFont="1" applyFill="1" applyBorder="1" applyAlignment="1">
      <alignment horizontal="center"/>
    </xf>
    <xf numFmtId="43" fontId="17" fillId="0" borderId="1" xfId="25" applyFont="1" applyFill="1" applyBorder="1" applyAlignment="1">
      <alignment vertical="center" wrapText="1"/>
    </xf>
    <xf numFmtId="43" fontId="29" fillId="0" borderId="1" xfId="25" applyFont="1" applyFill="1" applyBorder="1" applyAlignment="1">
      <alignment horizontal="right"/>
    </xf>
    <xf numFmtId="0" fontId="17" fillId="0" borderId="1" xfId="0" applyFont="1" applyFill="1" applyBorder="1" applyAlignment="1">
      <alignment horizontal="justify" vertical="center"/>
    </xf>
    <xf numFmtId="43" fontId="17" fillId="0" borderId="1" xfId="25" applyFont="1" applyFill="1" applyBorder="1" applyAlignment="1">
      <alignment horizontal="justify" vertical="center"/>
    </xf>
    <xf numFmtId="167" fontId="21" fillId="0" borderId="7" xfId="1" applyNumberFormat="1" applyFont="1" applyFill="1" applyBorder="1" applyAlignment="1">
      <alignment horizontal="justify" vertical="center" wrapText="1"/>
    </xf>
    <xf numFmtId="2" fontId="17" fillId="0" borderId="1" xfId="0" applyNumberFormat="1" applyFont="1" applyFill="1" applyBorder="1" applyAlignment="1">
      <alignment horizontal="right" vertical="center"/>
    </xf>
    <xf numFmtId="43" fontId="17" fillId="0" borderId="1" xfId="25" applyFont="1" applyFill="1" applyBorder="1" applyAlignment="1">
      <alignment horizontal="justify" vertical="center" wrapText="1"/>
    </xf>
    <xf numFmtId="171" fontId="13" fillId="0" borderId="0" xfId="23" applyNumberFormat="1" applyFont="1" applyFill="1"/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horizontal="left" vertical="center" wrapText="1"/>
    </xf>
    <xf numFmtId="4" fontId="33" fillId="0" borderId="1" xfId="0" applyNumberFormat="1" applyFont="1" applyFill="1" applyBorder="1"/>
    <xf numFmtId="43" fontId="17" fillId="0" borderId="1" xfId="25" applyFont="1" applyFill="1" applyBorder="1" applyAlignment="1">
      <alignment horizontal="left" vertical="top" wrapText="1"/>
    </xf>
    <xf numFmtId="4" fontId="19" fillId="0" borderId="6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4" fontId="17" fillId="0" borderId="2" xfId="0" applyNumberFormat="1" applyFont="1" applyFill="1" applyBorder="1" applyAlignment="1">
      <alignment horizontal="justify" vertical="center" wrapText="1"/>
    </xf>
    <xf numFmtId="171" fontId="13" fillId="0" borderId="1" xfId="23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/>
    <xf numFmtId="9" fontId="13" fillId="0" borderId="1" xfId="23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66" fontId="13" fillId="0" borderId="1" xfId="25" applyNumberFormat="1" applyFont="1" applyBorder="1" applyAlignment="1">
      <alignment vertical="center"/>
    </xf>
    <xf numFmtId="4" fontId="19" fillId="0" borderId="3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wrapText="1"/>
    </xf>
    <xf numFmtId="4" fontId="13" fillId="0" borderId="6" xfId="0" applyNumberFormat="1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wrapText="1"/>
    </xf>
    <xf numFmtId="4" fontId="13" fillId="0" borderId="5" xfId="0" applyNumberFormat="1" applyFont="1" applyFill="1" applyBorder="1" applyAlignment="1">
      <alignment vertical="center"/>
    </xf>
    <xf numFmtId="4" fontId="13" fillId="0" borderId="10" xfId="0" applyNumberFormat="1" applyFont="1" applyFill="1" applyBorder="1" applyAlignment="1">
      <alignment wrapText="1"/>
    </xf>
    <xf numFmtId="43" fontId="13" fillId="0" borderId="1" xfId="25" applyFont="1" applyFill="1" applyBorder="1" applyAlignment="1">
      <alignment wrapText="1"/>
    </xf>
    <xf numFmtId="10" fontId="13" fillId="0" borderId="1" xfId="25" applyNumberFormat="1" applyFont="1" applyFill="1" applyBorder="1" applyAlignment="1">
      <alignment vertical="center"/>
    </xf>
    <xf numFmtId="4" fontId="31" fillId="3" borderId="1" xfId="8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9" fillId="0" borderId="3" xfId="0" applyNumberFormat="1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vertical="center"/>
    </xf>
    <xf numFmtId="0" fontId="34" fillId="0" borderId="0" xfId="0" applyFont="1" applyFill="1" applyAlignment="1">
      <alignment wrapText="1"/>
    </xf>
    <xf numFmtId="0" fontId="13" fillId="0" borderId="0" xfId="0" applyFont="1"/>
    <xf numFmtId="4" fontId="13" fillId="0" borderId="4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19" fillId="0" borderId="3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3" xfId="0" applyNumberFormat="1" applyFont="1" applyFill="1" applyBorder="1" applyAlignment="1">
      <alignment vertical="center"/>
    </xf>
    <xf numFmtId="171" fontId="13" fillId="0" borderId="3" xfId="23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33" fillId="0" borderId="0" xfId="0" applyFont="1"/>
    <xf numFmtId="0" fontId="15" fillId="3" borderId="0" xfId="0" applyFont="1" applyFill="1"/>
    <xf numFmtId="0" fontId="7" fillId="3" borderId="0" xfId="0" applyFont="1" applyFill="1"/>
    <xf numFmtId="166" fontId="17" fillId="3" borderId="1" xfId="25" applyNumberFormat="1" applyFont="1" applyFill="1" applyBorder="1" applyAlignment="1">
      <alignment horizontal="right" vertical="center" wrapText="1"/>
    </xf>
    <xf numFmtId="166" fontId="20" fillId="3" borderId="1" xfId="25" applyNumberFormat="1" applyFont="1" applyFill="1" applyBorder="1" applyAlignment="1">
      <alignment horizontal="center" vertical="center" wrapText="1"/>
    </xf>
    <xf numFmtId="166" fontId="17" fillId="3" borderId="3" xfId="25" applyNumberFormat="1" applyFont="1" applyFill="1" applyBorder="1" applyAlignment="1">
      <alignment horizontal="right" vertical="center" wrapText="1"/>
    </xf>
    <xf numFmtId="166" fontId="19" fillId="3" borderId="1" xfId="25" applyNumberFormat="1" applyFont="1" applyFill="1" applyBorder="1" applyAlignment="1">
      <alignment vertical="center"/>
    </xf>
    <xf numFmtId="166" fontId="19" fillId="3" borderId="1" xfId="25" applyNumberFormat="1" applyFont="1" applyFill="1" applyBorder="1" applyAlignment="1">
      <alignment horizontal="center" vertical="center" wrapText="1"/>
    </xf>
    <xf numFmtId="166" fontId="17" fillId="3" borderId="1" xfId="25" applyNumberFormat="1" applyFont="1" applyFill="1" applyBorder="1" applyAlignment="1">
      <alignment horizontal="center" vertical="center" wrapText="1"/>
    </xf>
    <xf numFmtId="166" fontId="19" fillId="3" borderId="17" xfId="25" applyNumberFormat="1" applyFont="1" applyFill="1" applyBorder="1" applyAlignment="1">
      <alignment horizontal="center"/>
    </xf>
    <xf numFmtId="166" fontId="20" fillId="3" borderId="6" xfId="26" applyNumberFormat="1" applyFont="1" applyFill="1" applyBorder="1" applyAlignment="1">
      <alignment horizontal="center" vertical="center" wrapText="1"/>
    </xf>
    <xf numFmtId="166" fontId="17" fillId="3" borderId="1" xfId="26" applyNumberFormat="1" applyFont="1" applyFill="1" applyBorder="1" applyAlignment="1">
      <alignment horizontal="center" vertical="center" wrapText="1"/>
    </xf>
    <xf numFmtId="166" fontId="20" fillId="3" borderId="1" xfId="26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right" vertical="center" wrapText="1"/>
    </xf>
    <xf numFmtId="166" fontId="20" fillId="3" borderId="1" xfId="25" applyNumberFormat="1" applyFont="1" applyFill="1" applyBorder="1" applyAlignment="1">
      <alignment horizontal="right" vertical="center" wrapText="1"/>
    </xf>
    <xf numFmtId="166" fontId="20" fillId="3" borderId="18" xfId="0" applyNumberFormat="1" applyFont="1" applyFill="1" applyBorder="1"/>
    <xf numFmtId="43" fontId="17" fillId="3" borderId="6" xfId="25" applyFont="1" applyFill="1" applyBorder="1" applyAlignment="1">
      <alignment horizontal="right" vertical="center" wrapText="1"/>
    </xf>
    <xf numFmtId="43" fontId="17" fillId="3" borderId="3" xfId="25" applyFont="1" applyFill="1" applyBorder="1" applyAlignment="1">
      <alignment horizontal="right" vertical="center" wrapText="1"/>
    </xf>
    <xf numFmtId="4" fontId="20" fillId="3" borderId="17" xfId="0" applyNumberFormat="1" applyFont="1" applyFill="1" applyBorder="1"/>
    <xf numFmtId="166" fontId="13" fillId="3" borderId="6" xfId="25" applyNumberFormat="1" applyFont="1" applyFill="1" applyBorder="1" applyAlignment="1">
      <alignment vertical="center"/>
    </xf>
    <xf numFmtId="166" fontId="13" fillId="3" borderId="1" xfId="25" applyNumberFormat="1" applyFont="1" applyFill="1" applyBorder="1" applyAlignment="1">
      <alignment vertical="center"/>
    </xf>
    <xf numFmtId="166" fontId="13" fillId="3" borderId="3" xfId="25" applyNumberFormat="1" applyFont="1" applyFill="1" applyBorder="1" applyAlignment="1">
      <alignment vertical="center"/>
    </xf>
    <xf numFmtId="43" fontId="20" fillId="3" borderId="17" xfId="25" applyFont="1" applyFill="1" applyBorder="1"/>
    <xf numFmtId="166" fontId="27" fillId="3" borderId="17" xfId="25" applyNumberFormat="1" applyFont="1" applyFill="1" applyBorder="1"/>
    <xf numFmtId="4" fontId="0" fillId="3" borderId="0" xfId="0" applyNumberFormat="1" applyFill="1"/>
    <xf numFmtId="0" fontId="0" fillId="3" borderId="0" xfId="0" applyFill="1"/>
    <xf numFmtId="4" fontId="17" fillId="3" borderId="1" xfId="2" applyNumberFormat="1" applyFont="1" applyFill="1" applyBorder="1" applyAlignment="1">
      <alignment vertical="center" wrapText="1"/>
    </xf>
    <xf numFmtId="166" fontId="13" fillId="3" borderId="19" xfId="25" applyNumberFormat="1" applyFont="1" applyFill="1" applyBorder="1" applyAlignment="1">
      <alignment vertical="center"/>
    </xf>
    <xf numFmtId="166" fontId="13" fillId="3" borderId="20" xfId="25" applyNumberFormat="1" applyFont="1" applyFill="1" applyBorder="1" applyAlignment="1">
      <alignment vertical="center"/>
    </xf>
    <xf numFmtId="166" fontId="13" fillId="3" borderId="2" xfId="25" applyNumberFormat="1" applyFont="1" applyFill="1" applyBorder="1" applyAlignment="1">
      <alignment vertical="center"/>
    </xf>
    <xf numFmtId="9" fontId="10" fillId="3" borderId="0" xfId="23" applyFont="1" applyFill="1" applyAlignment="1">
      <alignment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0" fontId="18" fillId="3" borderId="0" xfId="0" applyFont="1" applyFill="1"/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vertical="center"/>
    </xf>
    <xf numFmtId="0" fontId="16" fillId="3" borderId="0" xfId="0" applyFont="1" applyFill="1"/>
    <xf numFmtId="0" fontId="13" fillId="3" borderId="0" xfId="0" applyFont="1" applyFill="1"/>
    <xf numFmtId="0" fontId="17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9" fontId="10" fillId="3" borderId="0" xfId="23" applyFont="1" applyFill="1"/>
    <xf numFmtId="0" fontId="10" fillId="3" borderId="0" xfId="0" applyFont="1" applyFill="1"/>
    <xf numFmtId="166" fontId="13" fillId="3" borderId="1" xfId="25" applyNumberFormat="1" applyFont="1" applyFill="1" applyBorder="1" applyAlignment="1">
      <alignment vertical="center" wrapText="1"/>
    </xf>
    <xf numFmtId="4" fontId="13" fillId="3" borderId="20" xfId="0" applyNumberFormat="1" applyFont="1" applyFill="1" applyBorder="1" applyAlignment="1">
      <alignment vertical="center" wrapText="1"/>
    </xf>
    <xf numFmtId="4" fontId="13" fillId="3" borderId="4" xfId="0" applyNumberFormat="1" applyFont="1" applyFill="1" applyBorder="1" applyAlignment="1">
      <alignment vertical="center" wrapText="1"/>
    </xf>
    <xf numFmtId="4" fontId="20" fillId="3" borderId="1" xfId="2" applyNumberFormat="1" applyFont="1" applyFill="1" applyBorder="1" applyAlignment="1">
      <alignment vertical="center" wrapText="1"/>
    </xf>
    <xf numFmtId="4" fontId="20" fillId="3" borderId="1" xfId="2" applyNumberFormat="1" applyFont="1" applyFill="1" applyBorder="1" applyAlignment="1">
      <alignment horizontal="justify" vertical="center" wrapText="1"/>
    </xf>
    <xf numFmtId="166" fontId="19" fillId="3" borderId="1" xfId="25" applyNumberFormat="1" applyFont="1" applyFill="1" applyBorder="1" applyAlignment="1">
      <alignment vertical="center" wrapText="1"/>
    </xf>
    <xf numFmtId="166" fontId="19" fillId="3" borderId="20" xfId="25" applyNumberFormat="1" applyFont="1" applyFill="1" applyBorder="1" applyAlignment="1">
      <alignment vertical="center" wrapText="1"/>
    </xf>
    <xf numFmtId="166" fontId="20" fillId="3" borderId="4" xfId="25" applyNumberFormat="1" applyFont="1" applyFill="1" applyBorder="1" applyAlignment="1">
      <alignment horizontal="center" vertical="center" wrapText="1"/>
    </xf>
    <xf numFmtId="166" fontId="13" fillId="3" borderId="1" xfId="25" applyNumberFormat="1" applyFont="1" applyFill="1" applyBorder="1"/>
    <xf numFmtId="166" fontId="13" fillId="3" borderId="20" xfId="25" applyNumberFormat="1" applyFont="1" applyFill="1" applyBorder="1"/>
    <xf numFmtId="166" fontId="13" fillId="3" borderId="19" xfId="25" applyNumberFormat="1" applyFont="1" applyFill="1" applyBorder="1"/>
    <xf numFmtId="4" fontId="13" fillId="3" borderId="20" xfId="0" applyNumberFormat="1" applyFont="1" applyFill="1" applyBorder="1"/>
    <xf numFmtId="4" fontId="13" fillId="3" borderId="4" xfId="0" applyNumberFormat="1" applyFont="1" applyFill="1" applyBorder="1"/>
    <xf numFmtId="4" fontId="10" fillId="3" borderId="4" xfId="0" applyNumberFormat="1" applyFont="1" applyFill="1" applyBorder="1" applyAlignment="1">
      <alignment vertical="center" wrapText="1"/>
    </xf>
    <xf numFmtId="4" fontId="17" fillId="3" borderId="3" xfId="2" applyNumberFormat="1" applyFont="1" applyFill="1" applyBorder="1" applyAlignment="1">
      <alignment horizontal="justify" vertical="center" wrapText="1"/>
    </xf>
    <xf numFmtId="166" fontId="13" fillId="3" borderId="21" xfId="25" applyNumberFormat="1" applyFont="1" applyFill="1" applyBorder="1" applyAlignment="1">
      <alignment vertical="center"/>
    </xf>
    <xf numFmtId="166" fontId="17" fillId="3" borderId="3" xfId="25" applyNumberFormat="1" applyFont="1" applyFill="1" applyBorder="1" applyAlignment="1">
      <alignment horizontal="center" vertical="center" wrapText="1"/>
    </xf>
    <xf numFmtId="166" fontId="13" fillId="3" borderId="22" xfId="25" applyNumberFormat="1" applyFont="1" applyFill="1" applyBorder="1" applyAlignment="1">
      <alignment vertical="center"/>
    </xf>
    <xf numFmtId="166" fontId="13" fillId="3" borderId="23" xfId="25" applyNumberFormat="1" applyFont="1" applyFill="1" applyBorder="1" applyAlignment="1">
      <alignment vertical="center"/>
    </xf>
    <xf numFmtId="4" fontId="13" fillId="3" borderId="22" xfId="0" applyNumberFormat="1" applyFont="1" applyFill="1" applyBorder="1" applyAlignment="1">
      <alignment vertical="center"/>
    </xf>
    <xf numFmtId="4" fontId="13" fillId="3" borderId="10" xfId="0" applyNumberFormat="1" applyFont="1" applyFill="1" applyBorder="1" applyAlignment="1">
      <alignment vertical="center"/>
    </xf>
    <xf numFmtId="166" fontId="13" fillId="3" borderId="24" xfId="25" applyNumberFormat="1" applyFont="1" applyFill="1" applyBorder="1" applyAlignment="1">
      <alignment vertical="center"/>
    </xf>
    <xf numFmtId="4" fontId="19" fillId="3" borderId="18" xfId="0" applyNumberFormat="1" applyFont="1" applyFill="1" applyBorder="1"/>
    <xf numFmtId="4" fontId="20" fillId="3" borderId="17" xfId="0" applyNumberFormat="1" applyFont="1" applyFill="1" applyBorder="1" applyAlignment="1">
      <alignment horizontal="left" vertical="center" wrapText="1"/>
    </xf>
    <xf numFmtId="4" fontId="13" fillId="3" borderId="25" xfId="0" applyNumberFormat="1" applyFont="1" applyFill="1" applyBorder="1" applyAlignment="1">
      <alignment vertical="top" wrapText="1"/>
    </xf>
    <xf numFmtId="166" fontId="19" fillId="3" borderId="17" xfId="25" applyNumberFormat="1" applyFont="1" applyFill="1" applyBorder="1"/>
    <xf numFmtId="166" fontId="19" fillId="3" borderId="26" xfId="25" applyNumberFormat="1" applyFont="1" applyFill="1" applyBorder="1"/>
    <xf numFmtId="4" fontId="19" fillId="3" borderId="26" xfId="0" applyNumberFormat="1" applyFont="1" applyFill="1" applyBorder="1"/>
    <xf numFmtId="4" fontId="19" fillId="3" borderId="13" xfId="0" applyNumberFormat="1" applyFont="1" applyFill="1" applyBorder="1"/>
    <xf numFmtId="0" fontId="12" fillId="3" borderId="0" xfId="0" applyFont="1" applyFill="1"/>
    <xf numFmtId="166" fontId="12" fillId="3" borderId="0" xfId="0" applyNumberFormat="1" applyFont="1" applyFill="1"/>
    <xf numFmtId="166" fontId="13" fillId="3" borderId="27" xfId="25" applyNumberFormat="1" applyFont="1" applyFill="1" applyBorder="1" applyAlignment="1">
      <alignment vertical="center"/>
    </xf>
    <xf numFmtId="4" fontId="13" fillId="3" borderId="6" xfId="0" applyNumberFormat="1" applyFont="1" applyFill="1" applyBorder="1"/>
    <xf numFmtId="4" fontId="13" fillId="3" borderId="24" xfId="0" applyNumberFormat="1" applyFont="1" applyFill="1" applyBorder="1"/>
    <xf numFmtId="4" fontId="13" fillId="3" borderId="8" xfId="0" applyNumberFormat="1" applyFont="1" applyFill="1" applyBorder="1"/>
    <xf numFmtId="4" fontId="13" fillId="3" borderId="1" xfId="0" applyNumberFormat="1" applyFont="1" applyFill="1" applyBorder="1"/>
    <xf numFmtId="166" fontId="19" fillId="3" borderId="19" xfId="25" applyNumberFormat="1" applyFont="1" applyFill="1" applyBorder="1" applyAlignment="1">
      <alignment vertical="center"/>
    </xf>
    <xf numFmtId="166" fontId="19" fillId="3" borderId="1" xfId="25" applyNumberFormat="1" applyFont="1" applyFill="1" applyBorder="1"/>
    <xf numFmtId="166" fontId="19" fillId="3" borderId="20" xfId="25" applyNumberFormat="1" applyFont="1" applyFill="1" applyBorder="1"/>
    <xf numFmtId="166" fontId="19" fillId="3" borderId="2" xfId="25" applyNumberFormat="1" applyFont="1" applyFill="1" applyBorder="1"/>
    <xf numFmtId="4" fontId="19" fillId="3" borderId="1" xfId="0" applyNumberFormat="1" applyFont="1" applyFill="1" applyBorder="1"/>
    <xf numFmtId="4" fontId="19" fillId="3" borderId="20" xfId="0" applyNumberFormat="1" applyFont="1" applyFill="1" applyBorder="1"/>
    <xf numFmtId="4" fontId="19" fillId="3" borderId="4" xfId="0" applyNumberFormat="1" applyFont="1" applyFill="1" applyBorder="1"/>
    <xf numFmtId="4" fontId="13" fillId="3" borderId="3" xfId="0" applyNumberFormat="1" applyFont="1" applyFill="1" applyBorder="1" applyAlignment="1">
      <alignment vertical="center"/>
    </xf>
    <xf numFmtId="4" fontId="19" fillId="3" borderId="23" xfId="0" applyNumberFormat="1" applyFont="1" applyFill="1" applyBorder="1" applyAlignment="1">
      <alignment vertical="center"/>
    </xf>
    <xf numFmtId="4" fontId="20" fillId="3" borderId="28" xfId="0" applyNumberFormat="1" applyFont="1" applyFill="1" applyBorder="1" applyAlignment="1">
      <alignment horizontal="left" vertical="center" wrapText="1"/>
    </xf>
    <xf numFmtId="4" fontId="19" fillId="3" borderId="16" xfId="0" applyNumberFormat="1" applyFont="1" applyFill="1" applyBorder="1" applyAlignment="1">
      <alignment vertical="center"/>
    </xf>
    <xf numFmtId="166" fontId="19" fillId="3" borderId="29" xfId="25" applyNumberFormat="1" applyFont="1" applyFill="1" applyBorder="1" applyAlignment="1">
      <alignment vertical="center"/>
    </xf>
    <xf numFmtId="166" fontId="19" fillId="3" borderId="30" xfId="25" applyNumberFormat="1" applyFont="1" applyFill="1" applyBorder="1" applyAlignment="1">
      <alignment vertical="center"/>
    </xf>
    <xf numFmtId="166" fontId="19" fillId="3" borderId="16" xfId="25" applyNumberFormat="1" applyFont="1" applyFill="1" applyBorder="1" applyAlignment="1">
      <alignment vertical="center"/>
    </xf>
    <xf numFmtId="4" fontId="19" fillId="3" borderId="29" xfId="0" applyNumberFormat="1" applyFont="1" applyFill="1" applyBorder="1" applyAlignment="1">
      <alignment vertical="center"/>
    </xf>
    <xf numFmtId="4" fontId="19" fillId="3" borderId="30" xfId="0" applyNumberFormat="1" applyFont="1" applyFill="1" applyBorder="1" applyAlignment="1">
      <alignment vertical="center"/>
    </xf>
    <xf numFmtId="4" fontId="19" fillId="3" borderId="31" xfId="0" applyNumberFormat="1" applyFont="1" applyFill="1" applyBorder="1" applyAlignment="1">
      <alignment vertical="center"/>
    </xf>
    <xf numFmtId="9" fontId="12" fillId="3" borderId="0" xfId="23" applyFont="1" applyFill="1"/>
    <xf numFmtId="4" fontId="19" fillId="3" borderId="1" xfId="0" applyNumberFormat="1" applyFont="1" applyFill="1" applyBorder="1" applyAlignment="1">
      <alignment horizontal="justify" vertical="center" wrapText="1"/>
    </xf>
    <xf numFmtId="4" fontId="13" fillId="3" borderId="1" xfId="0" applyNumberFormat="1" applyFont="1" applyFill="1" applyBorder="1" applyAlignment="1">
      <alignment horizontal="justify" vertical="center" wrapText="1"/>
    </xf>
    <xf numFmtId="0" fontId="13" fillId="3" borderId="1" xfId="0" applyNumberFormat="1" applyFont="1" applyFill="1" applyBorder="1"/>
    <xf numFmtId="4" fontId="13" fillId="3" borderId="2" xfId="0" applyNumberFormat="1" applyFont="1" applyFill="1" applyBorder="1"/>
    <xf numFmtId="0" fontId="19" fillId="3" borderId="1" xfId="0" applyNumberFormat="1" applyFont="1" applyFill="1" applyBorder="1"/>
    <xf numFmtId="4" fontId="19" fillId="3" borderId="2" xfId="0" applyNumberFormat="1" applyFont="1" applyFill="1" applyBorder="1"/>
    <xf numFmtId="166" fontId="19" fillId="3" borderId="19" xfId="25" applyNumberFormat="1" applyFont="1" applyFill="1" applyBorder="1"/>
    <xf numFmtId="43" fontId="19" fillId="3" borderId="1" xfId="25" applyFont="1" applyFill="1" applyBorder="1"/>
    <xf numFmtId="43" fontId="19" fillId="3" borderId="2" xfId="25" applyFont="1" applyFill="1" applyBorder="1"/>
    <xf numFmtId="43" fontId="13" fillId="3" borderId="1" xfId="25" applyFont="1" applyFill="1" applyBorder="1"/>
    <xf numFmtId="43" fontId="13" fillId="3" borderId="2" xfId="25" applyFont="1" applyFill="1" applyBorder="1"/>
    <xf numFmtId="43" fontId="13" fillId="3" borderId="1" xfId="25" applyFont="1" applyFill="1" applyBorder="1" applyAlignment="1">
      <alignment horizontal="center"/>
    </xf>
    <xf numFmtId="43" fontId="13" fillId="3" borderId="2" xfId="25" applyFont="1" applyFill="1" applyBorder="1" applyAlignment="1">
      <alignment horizontal="center"/>
    </xf>
    <xf numFmtId="166" fontId="13" fillId="3" borderId="19" xfId="25" applyNumberFormat="1" applyFont="1" applyFill="1" applyBorder="1" applyAlignment="1">
      <alignment horizontal="center"/>
    </xf>
    <xf numFmtId="4" fontId="13" fillId="3" borderId="10" xfId="0" applyNumberFormat="1" applyFont="1" applyFill="1" applyBorder="1"/>
    <xf numFmtId="0" fontId="19" fillId="3" borderId="18" xfId="0" applyNumberFormat="1" applyFont="1" applyFill="1" applyBorder="1"/>
    <xf numFmtId="4" fontId="19" fillId="3" borderId="25" xfId="0" applyNumberFormat="1" applyFont="1" applyFill="1" applyBorder="1" applyAlignment="1">
      <alignment vertical="top"/>
    </xf>
    <xf numFmtId="166" fontId="20" fillId="3" borderId="17" xfId="25" applyNumberFormat="1" applyFont="1" applyFill="1" applyBorder="1" applyAlignment="1">
      <alignment horizontal="center"/>
    </xf>
    <xf numFmtId="166" fontId="19" fillId="3" borderId="26" xfId="25" applyNumberFormat="1" applyFont="1" applyFill="1" applyBorder="1" applyAlignment="1">
      <alignment horizontal="center"/>
    </xf>
    <xf numFmtId="43" fontId="19" fillId="3" borderId="17" xfId="25" applyFont="1" applyFill="1" applyBorder="1" applyAlignment="1">
      <alignment horizontal="center"/>
    </xf>
    <xf numFmtId="43" fontId="19" fillId="3" borderId="25" xfId="25" applyFont="1" applyFill="1" applyBorder="1" applyAlignment="1">
      <alignment horizontal="center"/>
    </xf>
    <xf numFmtId="4" fontId="19" fillId="3" borderId="32" xfId="0" applyNumberFormat="1" applyFont="1" applyFill="1" applyBorder="1"/>
    <xf numFmtId="0" fontId="19" fillId="3" borderId="6" xfId="0" applyFont="1" applyFill="1" applyBorder="1" applyAlignment="1">
      <alignment horizontal="justify" vertical="center" wrapText="1"/>
    </xf>
    <xf numFmtId="166" fontId="20" fillId="3" borderId="27" xfId="26" applyNumberFormat="1" applyFont="1" applyFill="1" applyBorder="1" applyAlignment="1">
      <alignment horizontal="center" vertical="center" wrapText="1"/>
    </xf>
    <xf numFmtId="166" fontId="19" fillId="3" borderId="6" xfId="0" applyNumberFormat="1" applyFont="1" applyFill="1" applyBorder="1"/>
    <xf numFmtId="166" fontId="19" fillId="3" borderId="24" xfId="0" applyNumberFormat="1" applyFont="1" applyFill="1" applyBorder="1"/>
    <xf numFmtId="166" fontId="19" fillId="3" borderId="32" xfId="0" applyNumberFormat="1" applyFont="1" applyFill="1" applyBorder="1"/>
    <xf numFmtId="4" fontId="19" fillId="3" borderId="6" xfId="0" applyNumberFormat="1" applyFont="1" applyFill="1" applyBorder="1"/>
    <xf numFmtId="4" fontId="19" fillId="3" borderId="24" xfId="0" applyNumberFormat="1" applyFont="1" applyFill="1" applyBorder="1"/>
    <xf numFmtId="0" fontId="13" fillId="3" borderId="1" xfId="0" applyFont="1" applyFill="1" applyBorder="1" applyAlignment="1">
      <alignment horizontal="justify" vertical="center" wrapText="1"/>
    </xf>
    <xf numFmtId="166" fontId="13" fillId="3" borderId="19" xfId="0" applyNumberFormat="1" applyFont="1" applyFill="1" applyBorder="1" applyAlignment="1">
      <alignment vertical="center"/>
    </xf>
    <xf numFmtId="166" fontId="13" fillId="3" borderId="1" xfId="0" applyNumberFormat="1" applyFont="1" applyFill="1" applyBorder="1"/>
    <xf numFmtId="166" fontId="13" fillId="3" borderId="20" xfId="0" applyNumberFormat="1" applyFont="1" applyFill="1" applyBorder="1"/>
    <xf numFmtId="166" fontId="13" fillId="3" borderId="2" xfId="0" applyNumberFormat="1" applyFont="1" applyFill="1" applyBorder="1"/>
    <xf numFmtId="166" fontId="13" fillId="3" borderId="19" xfId="0" applyNumberFormat="1" applyFont="1" applyFill="1" applyBorder="1"/>
    <xf numFmtId="0" fontId="13" fillId="3" borderId="2" xfId="0" applyNumberFormat="1" applyFont="1" applyFill="1" applyBorder="1"/>
    <xf numFmtId="0" fontId="19" fillId="3" borderId="2" xfId="0" applyNumberFormat="1" applyFont="1" applyFill="1" applyBorder="1"/>
    <xf numFmtId="0" fontId="19" fillId="3" borderId="1" xfId="0" applyFont="1" applyFill="1" applyBorder="1" applyAlignment="1">
      <alignment horizontal="justify" vertical="center" wrapText="1"/>
    </xf>
    <xf numFmtId="166" fontId="20" fillId="3" borderId="19" xfId="26" applyNumberFormat="1" applyFont="1" applyFill="1" applyBorder="1" applyAlignment="1">
      <alignment horizontal="center" vertical="center" wrapText="1"/>
    </xf>
    <xf numFmtId="166" fontId="19" fillId="3" borderId="1" xfId="0" applyNumberFormat="1" applyFont="1" applyFill="1" applyBorder="1"/>
    <xf numFmtId="166" fontId="19" fillId="3" borderId="20" xfId="0" applyNumberFormat="1" applyFont="1" applyFill="1" applyBorder="1"/>
    <xf numFmtId="166" fontId="19" fillId="3" borderId="2" xfId="0" applyNumberFormat="1" applyFont="1" applyFill="1" applyBorder="1"/>
    <xf numFmtId="0" fontId="13" fillId="3" borderId="3" xfId="0" applyFont="1" applyFill="1" applyBorder="1" applyAlignment="1">
      <alignment vertical="center" wrapText="1"/>
    </xf>
    <xf numFmtId="166" fontId="19" fillId="3" borderId="19" xfId="0" applyNumberFormat="1" applyFont="1" applyFill="1" applyBorder="1"/>
    <xf numFmtId="0" fontId="13" fillId="3" borderId="23" xfId="0" applyNumberFormat="1" applyFont="1" applyFill="1" applyBorder="1"/>
    <xf numFmtId="0" fontId="13" fillId="3" borderId="3" xfId="0" applyFont="1" applyFill="1" applyBorder="1" applyAlignment="1">
      <alignment horizontal="justify" vertical="center" wrapText="1"/>
    </xf>
    <xf numFmtId="0" fontId="13" fillId="3" borderId="33" xfId="0" applyFont="1" applyFill="1" applyBorder="1" applyAlignment="1">
      <alignment vertical="top" wrapText="1"/>
    </xf>
    <xf numFmtId="166" fontId="13" fillId="3" borderId="21" xfId="0" applyNumberFormat="1" applyFont="1" applyFill="1" applyBorder="1" applyAlignment="1">
      <alignment vertical="center"/>
    </xf>
    <xf numFmtId="166" fontId="17" fillId="3" borderId="3" xfId="26" applyNumberFormat="1" applyFont="1" applyFill="1" applyBorder="1" applyAlignment="1">
      <alignment horizontal="center" vertical="center" wrapText="1"/>
    </xf>
    <xf numFmtId="166" fontId="13" fillId="3" borderId="3" xfId="0" applyNumberFormat="1" applyFont="1" applyFill="1" applyBorder="1"/>
    <xf numFmtId="166" fontId="13" fillId="3" borderId="22" xfId="0" applyNumberFormat="1" applyFont="1" applyFill="1" applyBorder="1"/>
    <xf numFmtId="4" fontId="13" fillId="3" borderId="3" xfId="0" applyNumberFormat="1" applyFont="1" applyFill="1" applyBorder="1"/>
    <xf numFmtId="4" fontId="13" fillId="3" borderId="22" xfId="0" applyNumberFormat="1" applyFont="1" applyFill="1" applyBorder="1"/>
    <xf numFmtId="166" fontId="19" fillId="3" borderId="17" xfId="0" applyNumberFormat="1" applyFont="1" applyFill="1" applyBorder="1"/>
    <xf numFmtId="166" fontId="19" fillId="3" borderId="26" xfId="0" applyNumberFormat="1" applyFont="1" applyFill="1" applyBorder="1"/>
    <xf numFmtId="166" fontId="19" fillId="3" borderId="25" xfId="25" applyNumberFormat="1" applyFont="1" applyFill="1" applyBorder="1"/>
    <xf numFmtId="4" fontId="19" fillId="3" borderId="17" xfId="0" applyNumberFormat="1" applyFont="1" applyFill="1" applyBorder="1"/>
    <xf numFmtId="4" fontId="17" fillId="3" borderId="6" xfId="0" applyNumberFormat="1" applyFont="1" applyFill="1" applyBorder="1" applyAlignment="1">
      <alignment vertical="center" wrapText="1"/>
    </xf>
    <xf numFmtId="4" fontId="17" fillId="3" borderId="6" xfId="0" applyNumberFormat="1" applyFont="1" applyFill="1" applyBorder="1" applyAlignment="1">
      <alignment horizontal="justify" vertical="center" wrapText="1"/>
    </xf>
    <xf numFmtId="4" fontId="13" fillId="3" borderId="27" xfId="0" applyNumberFormat="1" applyFont="1" applyFill="1" applyBorder="1" applyAlignment="1">
      <alignment vertical="center"/>
    </xf>
    <xf numFmtId="164" fontId="17" fillId="3" borderId="6" xfId="26" applyNumberFormat="1" applyFont="1" applyFill="1" applyBorder="1" applyAlignment="1">
      <alignment horizontal="center" vertical="center" wrapText="1"/>
    </xf>
    <xf numFmtId="4" fontId="13" fillId="3" borderId="32" xfId="0" applyNumberFormat="1" applyFont="1" applyFill="1" applyBorder="1"/>
    <xf numFmtId="4" fontId="13" fillId="3" borderId="27" xfId="0" applyNumberFormat="1" applyFont="1" applyFill="1" applyBorder="1"/>
    <xf numFmtId="4" fontId="17" fillId="3" borderId="3" xfId="0" applyNumberFormat="1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horizontal="justify" vertical="center" wrapText="1"/>
    </xf>
    <xf numFmtId="4" fontId="13" fillId="3" borderId="21" xfId="0" applyNumberFormat="1" applyFont="1" applyFill="1" applyBorder="1" applyAlignment="1">
      <alignment vertical="center"/>
    </xf>
    <xf numFmtId="164" fontId="17" fillId="3" borderId="3" xfId="26" applyNumberFormat="1" applyFont="1" applyFill="1" applyBorder="1" applyAlignment="1">
      <alignment horizontal="center" vertical="center" wrapText="1"/>
    </xf>
    <xf numFmtId="4" fontId="13" fillId="3" borderId="23" xfId="0" applyNumberFormat="1" applyFont="1" applyFill="1" applyBorder="1"/>
    <xf numFmtId="4" fontId="13" fillId="3" borderId="21" xfId="0" applyNumberFormat="1" applyFont="1" applyFill="1" applyBorder="1"/>
    <xf numFmtId="0" fontId="32" fillId="3" borderId="1" xfId="0" applyFont="1" applyFill="1" applyBorder="1" applyAlignment="1">
      <alignment vertical="center" wrapText="1"/>
    </xf>
    <xf numFmtId="43" fontId="20" fillId="3" borderId="18" xfId="25" applyFont="1" applyFill="1" applyBorder="1"/>
    <xf numFmtId="4" fontId="19" fillId="3" borderId="25" xfId="0" applyNumberFormat="1" applyFont="1" applyFill="1" applyBorder="1"/>
    <xf numFmtId="43" fontId="12" fillId="3" borderId="0" xfId="0" applyNumberFormat="1" applyFont="1" applyFill="1"/>
    <xf numFmtId="0" fontId="17" fillId="3" borderId="6" xfId="2" applyFont="1" applyFill="1" applyBorder="1" applyAlignment="1">
      <alignment vertical="center" wrapText="1"/>
    </xf>
    <xf numFmtId="0" fontId="17" fillId="3" borderId="6" xfId="2" applyFont="1" applyFill="1" applyBorder="1" applyAlignment="1">
      <alignment horizontal="justify" vertical="center" wrapText="1"/>
    </xf>
    <xf numFmtId="166" fontId="17" fillId="3" borderId="6" xfId="25" applyNumberFormat="1" applyFont="1" applyFill="1" applyBorder="1" applyAlignment="1">
      <alignment vertical="center"/>
    </xf>
    <xf numFmtId="166" fontId="13" fillId="3" borderId="32" xfId="25" applyNumberFormat="1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0" fontId="17" fillId="3" borderId="1" xfId="2" applyFont="1" applyFill="1" applyBorder="1" applyAlignment="1">
      <alignment horizontal="justify" vertical="center" wrapText="1"/>
    </xf>
    <xf numFmtId="4" fontId="13" fillId="3" borderId="19" xfId="0" applyNumberFormat="1" applyFont="1" applyFill="1" applyBorder="1" applyAlignment="1">
      <alignment vertical="center"/>
    </xf>
    <xf numFmtId="166" fontId="17" fillId="3" borderId="1" xfId="25" applyNumberFormat="1" applyFont="1" applyFill="1" applyBorder="1" applyAlignment="1">
      <alignment vertical="center"/>
    </xf>
    <xf numFmtId="0" fontId="17" fillId="3" borderId="3" xfId="2" applyFont="1" applyFill="1" applyBorder="1" applyAlignment="1">
      <alignment vertical="center" wrapText="1"/>
    </xf>
    <xf numFmtId="0" fontId="17" fillId="3" borderId="3" xfId="2" applyFont="1" applyFill="1" applyBorder="1" applyAlignment="1">
      <alignment horizontal="justify" vertical="center" wrapText="1"/>
    </xf>
    <xf numFmtId="166" fontId="17" fillId="3" borderId="3" xfId="25" applyNumberFormat="1" applyFont="1" applyFill="1" applyBorder="1" applyAlignment="1">
      <alignment vertical="center"/>
    </xf>
    <xf numFmtId="4" fontId="0" fillId="3" borderId="18" xfId="0" applyNumberFormat="1" applyFont="1" applyFill="1" applyBorder="1"/>
    <xf numFmtId="4" fontId="27" fillId="3" borderId="17" xfId="0" applyNumberFormat="1" applyFont="1" applyFill="1" applyBorder="1" applyAlignment="1">
      <alignment horizontal="left" vertical="center" wrapText="1"/>
    </xf>
    <xf numFmtId="4" fontId="0" fillId="3" borderId="25" xfId="0" applyNumberFormat="1" applyFont="1" applyFill="1" applyBorder="1" applyAlignment="1">
      <alignment vertical="top"/>
    </xf>
    <xf numFmtId="166" fontId="27" fillId="3" borderId="18" xfId="25" applyNumberFormat="1" applyFont="1" applyFill="1" applyBorder="1"/>
    <xf numFmtId="166" fontId="11" fillId="3" borderId="17" xfId="0" applyNumberFormat="1" applyFont="1" applyFill="1" applyBorder="1"/>
    <xf numFmtId="166" fontId="11" fillId="3" borderId="26" xfId="0" applyNumberFormat="1" applyFont="1" applyFill="1" applyBorder="1"/>
    <xf numFmtId="166" fontId="11" fillId="3" borderId="25" xfId="0" applyNumberFormat="1" applyFont="1" applyFill="1" applyBorder="1"/>
    <xf numFmtId="4" fontId="11" fillId="3" borderId="13" xfId="0" applyNumberFormat="1" applyFont="1" applyFill="1" applyBorder="1"/>
    <xf numFmtId="4" fontId="18" fillId="3" borderId="0" xfId="0" applyNumberFormat="1" applyFont="1" applyFill="1"/>
    <xf numFmtId="166" fontId="0" fillId="3" borderId="0" xfId="0" applyNumberFormat="1" applyFill="1" applyAlignment="1">
      <alignment vertical="center"/>
    </xf>
    <xf numFmtId="166" fontId="18" fillId="3" borderId="0" xfId="0" applyNumberFormat="1" applyFont="1" applyFill="1"/>
    <xf numFmtId="168" fontId="12" fillId="3" borderId="0" xfId="0" applyNumberFormat="1" applyFont="1" applyFill="1"/>
    <xf numFmtId="4" fontId="13" fillId="3" borderId="33" xfId="0" applyNumberFormat="1" applyFont="1" applyFill="1" applyBorder="1" applyAlignment="1">
      <alignment vertical="center" wrapText="1"/>
    </xf>
    <xf numFmtId="166" fontId="36" fillId="3" borderId="1" xfId="25" applyNumberFormat="1" applyFont="1" applyFill="1" applyBorder="1" applyAlignment="1">
      <alignment horizontal="center" vertical="center" wrapText="1"/>
    </xf>
    <xf numFmtId="43" fontId="20" fillId="3" borderId="17" xfId="25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center" wrapText="1"/>
    </xf>
    <xf numFmtId="4" fontId="19" fillId="3" borderId="8" xfId="0" applyNumberFormat="1" applyFont="1" applyFill="1" applyBorder="1" applyAlignment="1">
      <alignment vertical="center"/>
    </xf>
    <xf numFmtId="168" fontId="0" fillId="3" borderId="0" xfId="0" applyNumberFormat="1" applyFill="1"/>
    <xf numFmtId="168" fontId="18" fillId="3" borderId="0" xfId="0" applyNumberFormat="1" applyFont="1" applyFill="1"/>
    <xf numFmtId="4" fontId="17" fillId="3" borderId="6" xfId="2" applyNumberFormat="1" applyFont="1" applyFill="1" applyBorder="1" applyAlignment="1">
      <alignment vertical="center" wrapText="1"/>
    </xf>
    <xf numFmtId="4" fontId="17" fillId="3" borderId="6" xfId="2" applyNumberFormat="1" applyFont="1" applyFill="1" applyBorder="1" applyAlignment="1">
      <alignment horizontal="justify" vertical="center" wrapText="1"/>
    </xf>
    <xf numFmtId="166" fontId="13" fillId="3" borderId="27" xfId="25" applyNumberFormat="1" applyFont="1" applyFill="1" applyBorder="1" applyAlignment="1">
      <alignment vertical="center" wrapText="1"/>
    </xf>
    <xf numFmtId="166" fontId="17" fillId="3" borderId="6" xfId="25" applyNumberFormat="1" applyFont="1" applyFill="1" applyBorder="1" applyAlignment="1">
      <alignment horizontal="center" vertical="center" wrapText="1"/>
    </xf>
    <xf numFmtId="166" fontId="13" fillId="3" borderId="6" xfId="25" applyNumberFormat="1" applyFont="1" applyFill="1" applyBorder="1" applyAlignment="1">
      <alignment vertical="center" wrapText="1"/>
    </xf>
    <xf numFmtId="166" fontId="13" fillId="3" borderId="24" xfId="25" applyNumberFormat="1" applyFont="1" applyFill="1" applyBorder="1" applyAlignment="1">
      <alignment vertical="center" wrapText="1"/>
    </xf>
    <xf numFmtId="166" fontId="13" fillId="3" borderId="32" xfId="25" applyNumberFormat="1" applyFont="1" applyFill="1" applyBorder="1" applyAlignment="1">
      <alignment vertical="center" wrapText="1"/>
    </xf>
    <xf numFmtId="166" fontId="17" fillId="3" borderId="6" xfId="25" applyNumberFormat="1" applyFont="1" applyFill="1" applyBorder="1" applyAlignment="1">
      <alignment horizontal="right" vertical="center" wrapText="1"/>
    </xf>
    <xf numFmtId="4" fontId="13" fillId="3" borderId="24" xfId="0" applyNumberFormat="1" applyFont="1" applyFill="1" applyBorder="1" applyAlignment="1">
      <alignment vertical="center" wrapText="1"/>
    </xf>
    <xf numFmtId="4" fontId="13" fillId="3" borderId="8" xfId="0" applyNumberFormat="1" applyFont="1" applyFill="1" applyBorder="1" applyAlignment="1">
      <alignment vertical="center" wrapText="1"/>
    </xf>
    <xf numFmtId="4" fontId="17" fillId="3" borderId="1" xfId="2" applyNumberFormat="1" applyFont="1" applyFill="1" applyBorder="1" applyAlignment="1">
      <alignment horizontal="justify" vertical="center" wrapText="1"/>
    </xf>
    <xf numFmtId="166" fontId="13" fillId="3" borderId="19" xfId="25" applyNumberFormat="1" applyFont="1" applyFill="1" applyBorder="1" applyAlignment="1">
      <alignment vertical="center" wrapText="1"/>
    </xf>
    <xf numFmtId="166" fontId="13" fillId="3" borderId="20" xfId="25" applyNumberFormat="1" applyFont="1" applyFill="1" applyBorder="1" applyAlignment="1">
      <alignment vertical="center" wrapText="1"/>
    </xf>
    <xf numFmtId="166" fontId="13" fillId="3" borderId="2" xfId="25" applyNumberFormat="1" applyFont="1" applyFill="1" applyBorder="1" applyAlignment="1">
      <alignment vertical="center" wrapText="1"/>
    </xf>
    <xf numFmtId="166" fontId="20" fillId="3" borderId="19" xfId="25" applyNumberFormat="1" applyFont="1" applyFill="1" applyBorder="1" applyAlignment="1">
      <alignment vertical="center" wrapText="1"/>
    </xf>
    <xf numFmtId="166" fontId="20" fillId="3" borderId="1" xfId="25" applyNumberFormat="1" applyFont="1" applyFill="1" applyBorder="1" applyAlignment="1">
      <alignment vertical="center" wrapText="1"/>
    </xf>
    <xf numFmtId="166" fontId="20" fillId="3" borderId="20" xfId="25" applyNumberFormat="1" applyFont="1" applyFill="1" applyBorder="1" applyAlignment="1">
      <alignment vertical="center" wrapText="1"/>
    </xf>
    <xf numFmtId="166" fontId="20" fillId="3" borderId="2" xfId="25" applyNumberFormat="1" applyFont="1" applyFill="1" applyBorder="1" applyAlignment="1">
      <alignment vertical="center" wrapText="1"/>
    </xf>
    <xf numFmtId="4" fontId="19" fillId="3" borderId="20" xfId="0" applyNumberFormat="1" applyFont="1" applyFill="1" applyBorder="1" applyAlignment="1">
      <alignment vertical="center" wrapText="1"/>
    </xf>
    <xf numFmtId="4" fontId="19" fillId="3" borderId="4" xfId="0" applyNumberFormat="1" applyFont="1" applyFill="1" applyBorder="1" applyAlignment="1">
      <alignment vertical="center" wrapText="1"/>
    </xf>
    <xf numFmtId="9" fontId="35" fillId="3" borderId="0" xfId="23" applyFont="1" applyFill="1"/>
    <xf numFmtId="0" fontId="35" fillId="3" borderId="0" xfId="0" applyFont="1" applyFill="1"/>
    <xf numFmtId="166" fontId="13" fillId="3" borderId="2" xfId="25" applyNumberFormat="1" applyFont="1" applyFill="1" applyBorder="1"/>
    <xf numFmtId="4" fontId="13" fillId="3" borderId="0" xfId="0" applyNumberFormat="1" applyFont="1" applyFill="1" applyAlignment="1">
      <alignment horizontal="center" vertical="top" wrapText="1"/>
    </xf>
    <xf numFmtId="166" fontId="17" fillId="3" borderId="19" xfId="25" applyNumberFormat="1" applyFont="1" applyFill="1" applyBorder="1" applyAlignment="1">
      <alignment vertical="center"/>
    </xf>
    <xf numFmtId="4" fontId="13" fillId="3" borderId="20" xfId="0" applyNumberFormat="1" applyFont="1" applyFill="1" applyBorder="1" applyAlignment="1">
      <alignment vertical="center"/>
    </xf>
    <xf numFmtId="4" fontId="13" fillId="3" borderId="4" xfId="0" applyNumberFormat="1" applyFont="1" applyFill="1" applyBorder="1" applyAlignment="1">
      <alignment vertical="center"/>
    </xf>
    <xf numFmtId="4" fontId="17" fillId="3" borderId="3" xfId="2" applyNumberFormat="1" applyFont="1" applyFill="1" applyBorder="1" applyAlignment="1">
      <alignment vertical="center" wrapText="1"/>
    </xf>
    <xf numFmtId="4" fontId="13" fillId="3" borderId="20" xfId="0" applyNumberFormat="1" applyFont="1" applyFill="1" applyBorder="1" applyAlignment="1">
      <alignment horizontal="center" vertical="top" wrapText="1"/>
    </xf>
    <xf numFmtId="166" fontId="13" fillId="3" borderId="4" xfId="25" applyNumberFormat="1" applyFont="1" applyFill="1" applyBorder="1" applyAlignment="1">
      <alignment vertical="center"/>
    </xf>
    <xf numFmtId="4" fontId="17" fillId="3" borderId="1" xfId="2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4" fontId="34" fillId="3" borderId="20" xfId="0" applyNumberFormat="1" applyFont="1" applyFill="1" applyBorder="1" applyAlignment="1">
      <alignment horizontal="center" vertical="top" wrapText="1"/>
    </xf>
    <xf numFmtId="166" fontId="17" fillId="3" borderId="8" xfId="25" applyNumberFormat="1" applyFont="1" applyFill="1" applyBorder="1" applyAlignment="1">
      <alignment vertical="center"/>
    </xf>
    <xf numFmtId="166" fontId="13" fillId="3" borderId="8" xfId="25" applyNumberFormat="1" applyFont="1" applyFill="1" applyBorder="1" applyAlignment="1">
      <alignment vertical="center"/>
    </xf>
    <xf numFmtId="4" fontId="13" fillId="3" borderId="24" xfId="0" applyNumberFormat="1" applyFont="1" applyFill="1" applyBorder="1" applyAlignment="1">
      <alignment vertical="center"/>
    </xf>
    <xf numFmtId="4" fontId="13" fillId="3" borderId="8" xfId="0" applyNumberFormat="1" applyFont="1" applyFill="1" applyBorder="1" applyAlignment="1">
      <alignment vertical="center"/>
    </xf>
    <xf numFmtId="4" fontId="17" fillId="3" borderId="9" xfId="2" applyNumberFormat="1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4" fontId="17" fillId="3" borderId="20" xfId="0" applyNumberFormat="1" applyFont="1" applyFill="1" applyBorder="1" applyAlignment="1">
      <alignment horizontal="center" vertical="top" wrapText="1"/>
    </xf>
    <xf numFmtId="166" fontId="17" fillId="3" borderId="9" xfId="25" applyNumberFormat="1" applyFont="1" applyFill="1" applyBorder="1" applyAlignment="1">
      <alignment vertical="center"/>
    </xf>
    <xf numFmtId="166" fontId="17" fillId="3" borderId="5" xfId="25" applyNumberFormat="1" applyFont="1" applyFill="1" applyBorder="1" applyAlignment="1">
      <alignment horizontal="center" vertical="center" wrapText="1"/>
    </xf>
    <xf numFmtId="166" fontId="17" fillId="3" borderId="5" xfId="25" applyNumberFormat="1" applyFont="1" applyFill="1" applyBorder="1" applyAlignment="1">
      <alignment vertical="center"/>
    </xf>
    <xf numFmtId="166" fontId="17" fillId="3" borderId="33" xfId="25" applyNumberFormat="1" applyFont="1" applyFill="1" applyBorder="1" applyAlignment="1">
      <alignment vertical="center"/>
    </xf>
    <xf numFmtId="166" fontId="17" fillId="3" borderId="5" xfId="25" applyNumberFormat="1" applyFont="1" applyFill="1" applyBorder="1" applyAlignment="1">
      <alignment horizontal="right" vertical="center" wrapText="1"/>
    </xf>
    <xf numFmtId="4" fontId="17" fillId="3" borderId="33" xfId="0" applyNumberFormat="1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vertical="center"/>
    </xf>
    <xf numFmtId="9" fontId="37" fillId="3" borderId="0" xfId="23" applyFont="1" applyFill="1" applyAlignment="1">
      <alignment vertical="center"/>
    </xf>
    <xf numFmtId="166" fontId="20" fillId="3" borderId="18" xfId="25" applyNumberFormat="1" applyFont="1" applyFill="1" applyBorder="1" applyAlignment="1">
      <alignment vertical="center"/>
    </xf>
    <xf numFmtId="166" fontId="13" fillId="3" borderId="6" xfId="25" applyNumberFormat="1" applyFont="1" applyFill="1" applyBorder="1"/>
    <xf numFmtId="166" fontId="13" fillId="3" borderId="24" xfId="25" applyNumberFormat="1" applyFont="1" applyFill="1" applyBorder="1"/>
    <xf numFmtId="166" fontId="13" fillId="3" borderId="32" xfId="25" applyNumberFormat="1" applyFont="1" applyFill="1" applyBorder="1"/>
    <xf numFmtId="166" fontId="13" fillId="3" borderId="27" xfId="25" applyNumberFormat="1" applyFont="1" applyFill="1" applyBorder="1"/>
    <xf numFmtId="4" fontId="13" fillId="3" borderId="1" xfId="0" applyNumberFormat="1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vertical="center"/>
    </xf>
    <xf numFmtId="166" fontId="20" fillId="3" borderId="28" xfId="25" applyNumberFormat="1" applyFont="1" applyFill="1" applyBorder="1" applyAlignment="1">
      <alignment vertical="center"/>
    </xf>
    <xf numFmtId="166" fontId="20" fillId="3" borderId="29" xfId="25" applyNumberFormat="1" applyFont="1" applyFill="1" applyBorder="1" applyAlignment="1">
      <alignment vertical="center"/>
    </xf>
    <xf numFmtId="0" fontId="19" fillId="3" borderId="6" xfId="0" applyNumberFormat="1" applyFont="1" applyFill="1" applyBorder="1" applyAlignment="1">
      <alignment vertical="center"/>
    </xf>
    <xf numFmtId="4" fontId="19" fillId="3" borderId="6" xfId="0" applyNumberFormat="1" applyFont="1" applyFill="1" applyBorder="1" applyAlignment="1">
      <alignment horizontal="justify" vertical="center" wrapText="1"/>
    </xf>
    <xf numFmtId="4" fontId="13" fillId="3" borderId="30" xfId="0" applyNumberFormat="1" applyFont="1" applyFill="1" applyBorder="1" applyAlignment="1">
      <alignment vertical="center" wrapText="1"/>
    </xf>
    <xf numFmtId="166" fontId="20" fillId="3" borderId="6" xfId="25" applyNumberFormat="1" applyFont="1" applyFill="1" applyBorder="1" applyAlignment="1">
      <alignment horizontal="center" vertical="center" wrapText="1"/>
    </xf>
    <xf numFmtId="166" fontId="19" fillId="3" borderId="6" xfId="25" applyNumberFormat="1" applyFont="1" applyFill="1" applyBorder="1" applyAlignment="1">
      <alignment vertical="center"/>
    </xf>
    <xf numFmtId="166" fontId="19" fillId="3" borderId="24" xfId="25" applyNumberFormat="1" applyFont="1" applyFill="1" applyBorder="1" applyAlignment="1">
      <alignment vertical="center"/>
    </xf>
    <xf numFmtId="43" fontId="19" fillId="3" borderId="6" xfId="25" applyFont="1" applyFill="1" applyBorder="1" applyAlignment="1">
      <alignment vertical="center"/>
    </xf>
    <xf numFmtId="43" fontId="19" fillId="3" borderId="32" xfId="25" applyFont="1" applyFill="1" applyBorder="1" applyAlignment="1">
      <alignment vertical="center"/>
    </xf>
    <xf numFmtId="166" fontId="19" fillId="3" borderId="27" xfId="25" applyNumberFormat="1" applyFont="1" applyFill="1" applyBorder="1" applyAlignment="1">
      <alignment vertical="center"/>
    </xf>
    <xf numFmtId="166" fontId="19" fillId="3" borderId="6" xfId="25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vertical="center"/>
    </xf>
    <xf numFmtId="43" fontId="20" fillId="3" borderId="1" xfId="25" applyNumberFormat="1" applyFont="1" applyFill="1" applyBorder="1" applyAlignment="1">
      <alignment horizontal="center" vertical="center" wrapText="1"/>
    </xf>
    <xf numFmtId="166" fontId="19" fillId="3" borderId="20" xfId="25" applyNumberFormat="1" applyFont="1" applyFill="1" applyBorder="1" applyAlignment="1">
      <alignment vertical="center"/>
    </xf>
    <xf numFmtId="43" fontId="19" fillId="3" borderId="1" xfId="25" applyFont="1" applyFill="1" applyBorder="1" applyAlignment="1">
      <alignment vertical="center"/>
    </xf>
    <xf numFmtId="43" fontId="19" fillId="3" borderId="2" xfId="25" applyFont="1" applyFill="1" applyBorder="1" applyAlignment="1">
      <alignment vertical="center"/>
    </xf>
    <xf numFmtId="4" fontId="19" fillId="3" borderId="4" xfId="0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/>
    </xf>
    <xf numFmtId="164" fontId="32" fillId="3" borderId="1" xfId="25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/>
    <xf numFmtId="4" fontId="13" fillId="3" borderId="3" xfId="0" applyNumberFormat="1" applyFont="1" applyFill="1" applyBorder="1" applyAlignment="1">
      <alignment horizontal="justify" vertical="center" wrapText="1"/>
    </xf>
    <xf numFmtId="166" fontId="13" fillId="3" borderId="3" xfId="25" applyNumberFormat="1" applyFont="1" applyFill="1" applyBorder="1"/>
    <xf numFmtId="166" fontId="13" fillId="3" borderId="22" xfId="25" applyNumberFormat="1" applyFont="1" applyFill="1" applyBorder="1"/>
    <xf numFmtId="43" fontId="13" fillId="3" borderId="3" xfId="25" applyFont="1" applyFill="1" applyBorder="1"/>
    <xf numFmtId="43" fontId="13" fillId="3" borderId="23" xfId="25" applyFont="1" applyFill="1" applyBorder="1"/>
    <xf numFmtId="166" fontId="13" fillId="3" borderId="21" xfId="25" applyNumberFormat="1" applyFont="1" applyFill="1" applyBorder="1"/>
    <xf numFmtId="0" fontId="13" fillId="3" borderId="34" xfId="0" applyNumberFormat="1" applyFont="1" applyFill="1" applyBorder="1" applyAlignment="1">
      <alignment vertical="center"/>
    </xf>
    <xf numFmtId="4" fontId="13" fillId="3" borderId="35" xfId="0" applyNumberFormat="1" applyFont="1" applyFill="1" applyBorder="1" applyAlignment="1">
      <alignment horizontal="justify" vertical="center" wrapText="1"/>
    </xf>
    <xf numFmtId="4" fontId="13" fillId="3" borderId="36" xfId="0" applyNumberFormat="1" applyFont="1" applyFill="1" applyBorder="1" applyAlignment="1">
      <alignment vertical="center" wrapText="1"/>
    </xf>
    <xf numFmtId="43" fontId="13" fillId="3" borderId="37" xfId="25" applyNumberFormat="1" applyFont="1" applyFill="1" applyBorder="1" applyAlignment="1">
      <alignment vertical="center"/>
    </xf>
    <xf numFmtId="166" fontId="17" fillId="3" borderId="35" xfId="25" applyNumberFormat="1" applyFont="1" applyFill="1" applyBorder="1" applyAlignment="1">
      <alignment horizontal="center" vertical="center" wrapText="1"/>
    </xf>
    <xf numFmtId="166" fontId="13" fillId="3" borderId="35" xfId="25" applyNumberFormat="1" applyFont="1" applyFill="1" applyBorder="1"/>
    <xf numFmtId="166" fontId="13" fillId="3" borderId="38" xfId="25" applyNumberFormat="1" applyFont="1" applyFill="1" applyBorder="1"/>
    <xf numFmtId="43" fontId="13" fillId="3" borderId="35" xfId="25" applyFont="1" applyFill="1" applyBorder="1"/>
    <xf numFmtId="43" fontId="13" fillId="3" borderId="36" xfId="25" applyFont="1" applyFill="1" applyBorder="1"/>
    <xf numFmtId="166" fontId="13" fillId="3" borderId="37" xfId="25" applyNumberFormat="1" applyFont="1" applyFill="1" applyBorder="1"/>
    <xf numFmtId="166" fontId="17" fillId="3" borderId="35" xfId="25" applyNumberFormat="1" applyFont="1" applyFill="1" applyBorder="1" applyAlignment="1">
      <alignment horizontal="right" vertical="center" wrapText="1"/>
    </xf>
    <xf numFmtId="4" fontId="13" fillId="3" borderId="39" xfId="0" applyNumberFormat="1" applyFont="1" applyFill="1" applyBorder="1"/>
    <xf numFmtId="165" fontId="0" fillId="0" borderId="0" xfId="0" applyNumberFormat="1"/>
    <xf numFmtId="167" fontId="17" fillId="0" borderId="7" xfId="1" applyNumberFormat="1" applyFont="1" applyFill="1" applyBorder="1" applyAlignment="1">
      <alignment horizontal="justify" vertical="center" wrapText="1"/>
    </xf>
    <xf numFmtId="9" fontId="0" fillId="3" borderId="0" xfId="0" applyNumberFormat="1" applyFill="1"/>
    <xf numFmtId="171" fontId="0" fillId="3" borderId="0" xfId="0" applyNumberFormat="1" applyFill="1"/>
    <xf numFmtId="171" fontId="43" fillId="3" borderId="0" xfId="0" applyNumberFormat="1" applyFont="1" applyFill="1"/>
    <xf numFmtId="10" fontId="17" fillId="0" borderId="1" xfId="25" applyNumberFormat="1" applyFont="1" applyFill="1" applyBorder="1" applyAlignment="1">
      <alignment horizontal="justify" vertical="center"/>
    </xf>
    <xf numFmtId="10" fontId="29" fillId="0" borderId="1" xfId="25" applyNumberFormat="1" applyFont="1" applyFill="1" applyBorder="1" applyAlignment="1">
      <alignment horizontal="right" wrapText="1"/>
    </xf>
    <xf numFmtId="43" fontId="29" fillId="0" borderId="1" xfId="25" applyFont="1" applyFill="1" applyBorder="1" applyAlignment="1">
      <alignment horizontal="left" wrapText="1"/>
    </xf>
    <xf numFmtId="49" fontId="11" fillId="4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43" fontId="11" fillId="4" borderId="1" xfId="25" applyFont="1" applyFill="1" applyBorder="1" applyAlignment="1">
      <alignment vertical="center"/>
    </xf>
    <xf numFmtId="0" fontId="15" fillId="4" borderId="1" xfId="0" applyFont="1" applyFill="1" applyBorder="1" applyAlignment="1">
      <alignment horizontal="justify" vertical="center"/>
    </xf>
    <xf numFmtId="0" fontId="13" fillId="4" borderId="1" xfId="0" applyFont="1" applyFill="1" applyBorder="1" applyAlignment="1">
      <alignment horizontal="justify" vertical="center"/>
    </xf>
    <xf numFmtId="171" fontId="13" fillId="4" borderId="0" xfId="23" applyNumberFormat="1" applyFont="1" applyFill="1"/>
    <xf numFmtId="0" fontId="0" fillId="4" borderId="0" xfId="0" applyFill="1"/>
    <xf numFmtId="0" fontId="17" fillId="4" borderId="1" xfId="8" applyFont="1" applyFill="1" applyBorder="1" applyAlignment="1">
      <alignment vertical="center" wrapText="1"/>
    </xf>
    <xf numFmtId="0" fontId="17" fillId="4" borderId="1" xfId="8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/>
    <xf numFmtId="43" fontId="13" fillId="4" borderId="1" xfId="25" applyFont="1" applyFill="1" applyBorder="1" applyAlignment="1">
      <alignment vertical="center"/>
    </xf>
    <xf numFmtId="43" fontId="17" fillId="4" borderId="1" xfId="25" applyFont="1" applyFill="1" applyBorder="1" applyAlignment="1">
      <alignment horizontal="right" vertical="center" wrapText="1"/>
    </xf>
    <xf numFmtId="167" fontId="17" fillId="4" borderId="1" xfId="0" applyNumberFormat="1" applyFont="1" applyFill="1" applyBorder="1" applyAlignment="1">
      <alignment horizontal="justify" vertical="center" wrapText="1"/>
    </xf>
    <xf numFmtId="17" fontId="13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4" fontId="17" fillId="4" borderId="1" xfId="29" applyNumberFormat="1" applyFont="1" applyFill="1" applyBorder="1" applyAlignment="1">
      <alignment horizontal="center" vertical="center" wrapText="1"/>
    </xf>
    <xf numFmtId="166" fontId="17" fillId="4" borderId="3" xfId="29" applyNumberFormat="1" applyFont="1" applyFill="1" applyBorder="1" applyAlignment="1">
      <alignment horizontal="right" wrapText="1"/>
    </xf>
    <xf numFmtId="0" fontId="29" fillId="4" borderId="3" xfId="0" applyFont="1" applyFill="1" applyBorder="1" applyAlignment="1">
      <alignment horizontal="right"/>
    </xf>
    <xf numFmtId="166" fontId="29" fillId="4" borderId="3" xfId="0" applyNumberFormat="1" applyFont="1" applyFill="1" applyBorder="1" applyAlignment="1">
      <alignment horizontal="right"/>
    </xf>
    <xf numFmtId="0" fontId="17" fillId="4" borderId="3" xfId="0" applyFont="1" applyFill="1" applyBorder="1" applyAlignment="1">
      <alignment horizontal="right"/>
    </xf>
    <xf numFmtId="0" fontId="29" fillId="4" borderId="1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justify" vertical="center" wrapText="1"/>
    </xf>
    <xf numFmtId="164" fontId="17" fillId="4" borderId="2" xfId="29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right" wrapText="1"/>
    </xf>
    <xf numFmtId="168" fontId="29" fillId="4" borderId="1" xfId="0" applyNumberFormat="1" applyFont="1" applyFill="1" applyBorder="1" applyAlignment="1">
      <alignment horizontal="right"/>
    </xf>
    <xf numFmtId="166" fontId="29" fillId="4" borderId="1" xfId="0" applyNumberFormat="1" applyFont="1" applyFill="1" applyBorder="1" applyAlignment="1">
      <alignment horizontal="right"/>
    </xf>
    <xf numFmtId="43" fontId="17" fillId="4" borderId="1" xfId="25" applyFont="1" applyFill="1" applyBorder="1" applyAlignment="1">
      <alignment horizontal="right"/>
    </xf>
    <xf numFmtId="43" fontId="29" fillId="4" borderId="1" xfId="25" applyFont="1" applyFill="1" applyBorder="1" applyAlignment="1">
      <alignment horizontal="right"/>
    </xf>
    <xf numFmtId="43" fontId="17" fillId="4" borderId="1" xfId="25" applyFont="1" applyFill="1" applyBorder="1" applyAlignment="1">
      <alignment horizontal="left" vertical="top" wrapText="1"/>
    </xf>
    <xf numFmtId="49" fontId="13" fillId="4" borderId="1" xfId="0" applyNumberFormat="1" applyFont="1" applyFill="1" applyBorder="1"/>
    <xf numFmtId="165" fontId="13" fillId="4" borderId="1" xfId="0" applyNumberFormat="1" applyFont="1" applyFill="1" applyBorder="1" applyAlignment="1">
      <alignment vertical="center"/>
    </xf>
    <xf numFmtId="0" fontId="13" fillId="4" borderId="1" xfId="0" applyNumberFormat="1" applyFont="1" applyFill="1" applyBorder="1"/>
    <xf numFmtId="43" fontId="17" fillId="4" borderId="1" xfId="25" applyFont="1" applyFill="1" applyBorder="1" applyAlignment="1">
      <alignment vertical="center" wrapText="1"/>
    </xf>
    <xf numFmtId="0" fontId="42" fillId="4" borderId="1" xfId="21" applyFont="1" applyFill="1" applyBorder="1" applyAlignment="1">
      <alignment horizontal="justify" vertical="center" wrapText="1"/>
    </xf>
    <xf numFmtId="0" fontId="17" fillId="4" borderId="1" xfId="0" applyNumberFormat="1" applyFont="1" applyFill="1" applyBorder="1" applyAlignment="1">
      <alignment horizontal="center" vertical="top" wrapText="1"/>
    </xf>
    <xf numFmtId="0" fontId="17" fillId="4" borderId="1" xfId="29" applyNumberFormat="1" applyFont="1" applyFill="1" applyBorder="1" applyAlignment="1">
      <alignment horizontal="center" vertical="top" wrapText="1"/>
    </xf>
    <xf numFmtId="166" fontId="17" fillId="4" borderId="3" xfId="29" applyNumberFormat="1" applyFont="1" applyFill="1" applyBorder="1" applyAlignment="1">
      <alignment horizontal="center" vertical="center" wrapText="1"/>
    </xf>
    <xf numFmtId="2" fontId="29" fillId="4" borderId="4" xfId="0" applyNumberFormat="1" applyFont="1" applyFill="1" applyBorder="1" applyAlignment="1">
      <alignment horizontal="right"/>
    </xf>
    <xf numFmtId="2" fontId="29" fillId="4" borderId="1" xfId="0" applyNumberFormat="1" applyFont="1" applyFill="1" applyBorder="1" applyAlignment="1">
      <alignment horizontal="right"/>
    </xf>
    <xf numFmtId="167" fontId="17" fillId="4" borderId="1" xfId="0" applyNumberFormat="1" applyFont="1" applyFill="1" applyBorder="1" applyAlignment="1">
      <alignment horizontal="justify" vertical="center"/>
    </xf>
    <xf numFmtId="0" fontId="29" fillId="4" borderId="1" xfId="0" applyFont="1" applyFill="1" applyBorder="1"/>
    <xf numFmtId="0" fontId="29" fillId="4" borderId="0" xfId="0" applyFont="1" applyFill="1"/>
    <xf numFmtId="0" fontId="17" fillId="4" borderId="2" xfId="29" applyNumberFormat="1" applyFont="1" applyFill="1" applyBorder="1" applyAlignment="1">
      <alignment horizontal="center" vertical="top" wrapText="1"/>
    </xf>
    <xf numFmtId="2" fontId="29" fillId="4" borderId="4" xfId="0" applyNumberFormat="1" applyFont="1" applyFill="1" applyBorder="1" applyAlignment="1">
      <alignment horizontal="right" wrapText="1"/>
    </xf>
    <xf numFmtId="2" fontId="29" fillId="4" borderId="1" xfId="0" applyNumberFormat="1" applyFont="1" applyFill="1" applyBorder="1" applyAlignment="1">
      <alignment horizontal="right" wrapText="1"/>
    </xf>
    <xf numFmtId="43" fontId="17" fillId="4" borderId="2" xfId="25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right" vertical="center" wrapText="1"/>
    </xf>
    <xf numFmtId="4" fontId="42" fillId="4" borderId="1" xfId="0" applyNumberFormat="1" applyFont="1" applyFill="1" applyBorder="1" applyAlignment="1">
      <alignment wrapText="1"/>
    </xf>
    <xf numFmtId="43" fontId="17" fillId="4" borderId="1" xfId="25" applyFont="1" applyFill="1" applyBorder="1" applyAlignment="1">
      <alignment horizontal="justify" vertical="center" wrapText="1"/>
    </xf>
    <xf numFmtId="43" fontId="17" fillId="4" borderId="5" xfId="25" applyFont="1" applyFill="1" applyBorder="1" applyAlignment="1">
      <alignment horizontal="right" vertical="center" wrapText="1"/>
    </xf>
    <xf numFmtId="4" fontId="42" fillId="4" borderId="1" xfId="0" applyNumberFormat="1" applyFont="1" applyFill="1" applyBorder="1" applyAlignment="1">
      <alignment horizontal="justify" vertical="center" wrapText="1"/>
    </xf>
    <xf numFmtId="1" fontId="29" fillId="4" borderId="4" xfId="0" applyNumberFormat="1" applyFont="1" applyFill="1" applyBorder="1" applyAlignment="1">
      <alignment horizontal="right" wrapText="1"/>
    </xf>
    <xf numFmtId="1" fontId="29" fillId="4" borderId="1" xfId="0" applyNumberFormat="1" applyFont="1" applyFill="1" applyBorder="1" applyAlignment="1">
      <alignment horizontal="right" wrapText="1"/>
    </xf>
    <xf numFmtId="170" fontId="17" fillId="4" borderId="2" xfId="25" applyNumberFormat="1" applyFont="1" applyFill="1" applyBorder="1" applyAlignment="1">
      <alignment horizontal="justify" vertical="center" wrapText="1"/>
    </xf>
    <xf numFmtId="0" fontId="42" fillId="4" borderId="1" xfId="0" applyFont="1" applyFill="1" applyBorder="1" applyAlignment="1">
      <alignment horizontal="justify" vertical="center" wrapText="1"/>
    </xf>
    <xf numFmtId="0" fontId="13" fillId="4" borderId="0" xfId="0" applyFont="1" applyFill="1" applyAlignment="1">
      <alignment horizontal="justify" vertical="center" wrapText="1"/>
    </xf>
    <xf numFmtId="170" fontId="17" fillId="4" borderId="1" xfId="25" applyNumberFormat="1" applyFont="1" applyFill="1" applyBorder="1" applyAlignment="1">
      <alignment horizontal="justify" vertical="center" wrapText="1"/>
    </xf>
    <xf numFmtId="4" fontId="42" fillId="4" borderId="4" xfId="0" applyNumberFormat="1" applyFont="1" applyFill="1" applyBorder="1" applyAlignment="1">
      <alignment horizontal="justify" vertical="center" wrapText="1"/>
    </xf>
    <xf numFmtId="43" fontId="29" fillId="4" borderId="6" xfId="25" applyFont="1" applyFill="1" applyBorder="1" applyAlignment="1">
      <alignment vertical="center"/>
    </xf>
    <xf numFmtId="49" fontId="19" fillId="4" borderId="1" xfId="0" applyNumberFormat="1" applyFont="1" applyFill="1" applyBorder="1"/>
    <xf numFmtId="0" fontId="19" fillId="4" borderId="1" xfId="0" applyFont="1" applyFill="1" applyBorder="1" applyAlignment="1">
      <alignment wrapText="1"/>
    </xf>
    <xf numFmtId="0" fontId="19" fillId="4" borderId="1" xfId="0" applyFont="1" applyFill="1" applyBorder="1"/>
    <xf numFmtId="0" fontId="11" fillId="4" borderId="1" xfId="0" applyFont="1" applyFill="1" applyBorder="1" applyAlignment="1">
      <alignment horizontal="justify" vertical="center"/>
    </xf>
    <xf numFmtId="0" fontId="19" fillId="4" borderId="1" xfId="21" applyFont="1" applyFill="1" applyBorder="1" applyAlignment="1">
      <alignment horizontal="justify" vertical="center"/>
    </xf>
    <xf numFmtId="4" fontId="17" fillId="4" borderId="1" xfId="0" applyNumberFormat="1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horizontal="justify" vertical="center" wrapText="1"/>
    </xf>
    <xf numFmtId="49" fontId="17" fillId="4" borderId="1" xfId="0" applyNumberFormat="1" applyFont="1" applyFill="1" applyBorder="1" applyAlignment="1">
      <alignment horizontal="justify" vertical="center" wrapText="1"/>
    </xf>
    <xf numFmtId="0" fontId="13" fillId="4" borderId="1" xfId="21" applyFont="1" applyFill="1" applyBorder="1" applyAlignment="1">
      <alignment horizontal="justify" vertical="center" wrapText="1"/>
    </xf>
    <xf numFmtId="0" fontId="42" fillId="4" borderId="1" xfId="0" applyFont="1" applyFill="1" applyBorder="1" applyAlignment="1">
      <alignment horizontal="justify" vertical="center"/>
    </xf>
    <xf numFmtId="0" fontId="17" fillId="4" borderId="3" xfId="0" applyFont="1" applyFill="1" applyBorder="1" applyAlignment="1">
      <alignment horizontal="justify" vertical="center"/>
    </xf>
    <xf numFmtId="43" fontId="17" fillId="4" borderId="2" xfId="25" applyFont="1" applyFill="1" applyBorder="1" applyAlignment="1">
      <alignment vertical="center" wrapText="1"/>
    </xf>
    <xf numFmtId="0" fontId="42" fillId="4" borderId="1" xfId="0" applyFont="1" applyFill="1" applyBorder="1" applyAlignment="1">
      <alignment horizontal="center" vertical="center" wrapText="1"/>
    </xf>
    <xf numFmtId="166" fontId="20" fillId="4" borderId="1" xfId="29" applyNumberFormat="1" applyFont="1" applyFill="1" applyBorder="1" applyAlignment="1">
      <alignment horizontal="right" wrapText="1"/>
    </xf>
    <xf numFmtId="43" fontId="29" fillId="4" borderId="1" xfId="25" applyFont="1" applyFill="1" applyBorder="1" applyAlignment="1">
      <alignment vertical="center"/>
    </xf>
    <xf numFmtId="0" fontId="30" fillId="4" borderId="1" xfId="0" applyFont="1" applyFill="1" applyBorder="1" applyAlignment="1">
      <alignment horizontal="right"/>
    </xf>
    <xf numFmtId="43" fontId="17" fillId="4" borderId="1" xfId="25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justify" vertical="center" wrapText="1"/>
    </xf>
    <xf numFmtId="43" fontId="13" fillId="4" borderId="1" xfId="25" applyFont="1" applyFill="1" applyBorder="1" applyAlignment="1">
      <alignment horizontal="center" vertical="center" wrapText="1"/>
    </xf>
    <xf numFmtId="0" fontId="42" fillId="4" borderId="35" xfId="0" applyFont="1" applyFill="1" applyBorder="1" applyAlignment="1">
      <alignment vertical="top" wrapText="1"/>
    </xf>
    <xf numFmtId="0" fontId="13" fillId="4" borderId="0" xfId="0" applyFont="1" applyFill="1"/>
    <xf numFmtId="4" fontId="13" fillId="4" borderId="1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/>
    </xf>
    <xf numFmtId="166" fontId="13" fillId="4" borderId="1" xfId="25" applyNumberFormat="1" applyFont="1" applyFill="1" applyBorder="1" applyAlignment="1">
      <alignment vertical="center"/>
    </xf>
    <xf numFmtId="43" fontId="17" fillId="4" borderId="1" xfId="25" applyFont="1" applyFill="1" applyBorder="1" applyAlignment="1">
      <alignment horizontal="justify" vertical="center"/>
    </xf>
    <xf numFmtId="167" fontId="30" fillId="4" borderId="1" xfId="0" applyNumberFormat="1" applyFont="1" applyFill="1" applyBorder="1" applyAlignment="1">
      <alignment horizontal="right"/>
    </xf>
    <xf numFmtId="0" fontId="34" fillId="4" borderId="15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49" fontId="19" fillId="4" borderId="1" xfId="0" applyNumberFormat="1" applyFont="1" applyFill="1" applyBorder="1" applyAlignment="1">
      <alignment vertical="center"/>
    </xf>
    <xf numFmtId="4" fontId="19" fillId="4" borderId="1" xfId="0" applyNumberFormat="1" applyFont="1" applyFill="1" applyBorder="1" applyAlignment="1">
      <alignment horizontal="justify" vertical="center" wrapText="1"/>
    </xf>
    <xf numFmtId="43" fontId="25" fillId="4" borderId="1" xfId="0" applyNumberFormat="1" applyFont="1" applyFill="1" applyBorder="1"/>
    <xf numFmtId="0" fontId="13" fillId="4" borderId="1" xfId="21" applyFont="1" applyFill="1" applyBorder="1" applyAlignment="1">
      <alignment horizontal="justify" vertical="center"/>
    </xf>
    <xf numFmtId="4" fontId="13" fillId="4" borderId="1" xfId="0" applyNumberFormat="1" applyFont="1" applyFill="1" applyBorder="1"/>
    <xf numFmtId="0" fontId="13" fillId="4" borderId="1" xfId="0" applyFont="1" applyFill="1" applyBorder="1" applyAlignment="1">
      <alignment horizontal="center" vertical="top" wrapText="1"/>
    </xf>
    <xf numFmtId="0" fontId="42" fillId="4" borderId="1" xfId="21" applyFont="1" applyFill="1" applyBorder="1" applyAlignment="1">
      <alignment horizontal="justify" vertical="center"/>
    </xf>
    <xf numFmtId="0" fontId="42" fillId="4" borderId="1" xfId="0" applyFont="1" applyFill="1" applyBorder="1" applyAlignment="1">
      <alignment vertical="top" wrapText="1"/>
    </xf>
    <xf numFmtId="0" fontId="42" fillId="4" borderId="1" xfId="0" applyFont="1" applyFill="1" applyBorder="1" applyAlignment="1">
      <alignment wrapText="1"/>
    </xf>
    <xf numFmtId="0" fontId="42" fillId="4" borderId="0" xfId="0" applyFont="1" applyFill="1" applyAlignment="1">
      <alignment vertical="top" wrapText="1"/>
    </xf>
    <xf numFmtId="0" fontId="42" fillId="4" borderId="1" xfId="0" applyFont="1" applyFill="1" applyBorder="1" applyAlignment="1">
      <alignment vertical="center" wrapText="1"/>
    </xf>
    <xf numFmtId="4" fontId="17" fillId="4" borderId="1" xfId="8" applyNumberFormat="1" applyFont="1" applyFill="1" applyBorder="1" applyAlignment="1">
      <alignment vertical="center" wrapText="1"/>
    </xf>
    <xf numFmtId="4" fontId="17" fillId="4" borderId="1" xfId="8" applyNumberFormat="1" applyFont="1" applyFill="1" applyBorder="1" applyAlignment="1">
      <alignment horizontal="justify" vertical="center" wrapText="1"/>
    </xf>
    <xf numFmtId="0" fontId="17" fillId="4" borderId="1" xfId="0" applyFont="1" applyFill="1" applyBorder="1"/>
    <xf numFmtId="4" fontId="17" fillId="4" borderId="1" xfId="29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wrapText="1"/>
    </xf>
    <xf numFmtId="0" fontId="17" fillId="4" borderId="1" xfId="0" applyFont="1" applyFill="1" applyBorder="1" applyAlignment="1">
      <alignment vertical="justify" wrapText="1"/>
    </xf>
    <xf numFmtId="171" fontId="17" fillId="4" borderId="0" xfId="23" applyNumberFormat="1" applyFont="1" applyFill="1"/>
    <xf numFmtId="0" fontId="44" fillId="4" borderId="0" xfId="0" applyFont="1" applyFill="1"/>
    <xf numFmtId="4" fontId="17" fillId="4" borderId="9" xfId="2" applyNumberFormat="1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4" fontId="17" fillId="4" borderId="20" xfId="0" applyNumberFormat="1" applyFont="1" applyFill="1" applyBorder="1" applyAlignment="1">
      <alignment horizontal="center" vertical="top" wrapText="1"/>
    </xf>
    <xf numFmtId="0" fontId="13" fillId="4" borderId="3" xfId="0" applyFont="1" applyFill="1" applyBorder="1"/>
    <xf numFmtId="0" fontId="17" fillId="4" borderId="1" xfId="0" applyFont="1" applyFill="1" applyBorder="1" applyAlignment="1">
      <alignment horizontal="center" vertical="top" wrapText="1"/>
    </xf>
    <xf numFmtId="14" fontId="17" fillId="4" borderId="1" xfId="29" applyNumberFormat="1" applyFont="1" applyFill="1" applyBorder="1" applyAlignment="1">
      <alignment horizontal="center" vertical="top" wrapText="1"/>
    </xf>
    <xf numFmtId="14" fontId="17" fillId="4" borderId="2" xfId="29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wrapText="1"/>
    </xf>
    <xf numFmtId="2" fontId="29" fillId="4" borderId="4" xfId="0" applyNumberFormat="1" applyFont="1" applyFill="1" applyBorder="1" applyAlignment="1"/>
    <xf numFmtId="2" fontId="29" fillId="4" borderId="1" xfId="0" applyNumberFormat="1" applyFont="1" applyFill="1" applyBorder="1" applyAlignment="1"/>
    <xf numFmtId="0" fontId="17" fillId="4" borderId="13" xfId="0" applyFont="1" applyFill="1" applyBorder="1" applyAlignment="1">
      <alignment horizontal="right" vertical="top" wrapText="1"/>
    </xf>
    <xf numFmtId="4" fontId="17" fillId="4" borderId="1" xfId="0" applyNumberFormat="1" applyFont="1" applyFill="1" applyBorder="1" applyAlignment="1">
      <alignment horizontal="right" vertical="top" wrapText="1"/>
    </xf>
    <xf numFmtId="167" fontId="29" fillId="4" borderId="1" xfId="0" applyNumberFormat="1" applyFont="1" applyFill="1" applyBorder="1" applyAlignment="1">
      <alignment horizontal="right"/>
    </xf>
    <xf numFmtId="0" fontId="17" fillId="4" borderId="14" xfId="0" applyFont="1" applyFill="1" applyBorder="1" applyAlignment="1">
      <alignment horizontal="right" vertical="top" wrapText="1"/>
    </xf>
    <xf numFmtId="43" fontId="17" fillId="4" borderId="1" xfId="25" applyFont="1" applyFill="1" applyBorder="1" applyAlignment="1">
      <alignment horizontal="right" vertical="center"/>
    </xf>
    <xf numFmtId="0" fontId="25" fillId="4" borderId="1" xfId="0" applyFont="1" applyFill="1" applyBorder="1" applyAlignment="1">
      <alignment horizontal="left"/>
    </xf>
    <xf numFmtId="4" fontId="28" fillId="4" borderId="1" xfId="8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/>
    </xf>
    <xf numFmtId="4" fontId="28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justify" vertical="center"/>
    </xf>
    <xf numFmtId="0" fontId="19" fillId="4" borderId="1" xfId="0" applyFont="1" applyFill="1" applyBorder="1" applyAlignment="1">
      <alignment horizontal="justify" vertical="center"/>
    </xf>
    <xf numFmtId="0" fontId="8" fillId="4" borderId="1" xfId="0" applyFont="1" applyFill="1" applyBorder="1"/>
    <xf numFmtId="0" fontId="17" fillId="4" borderId="1" xfId="0" applyFont="1" applyFill="1" applyBorder="1" applyAlignment="1">
      <alignment horizontal="justify" vertical="center" wrapText="1"/>
    </xf>
    <xf numFmtId="0" fontId="22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1" xfId="0" applyFont="1" applyFill="1" applyBorder="1"/>
    <xf numFmtId="167" fontId="17" fillId="4" borderId="1" xfId="0" applyNumberFormat="1" applyFont="1" applyFill="1" applyBorder="1" applyAlignment="1">
      <alignment horizontal="center" wrapText="1"/>
    </xf>
    <xf numFmtId="4" fontId="20" fillId="4" borderId="1" xfId="8" applyNumberFormat="1" applyFont="1" applyFill="1" applyBorder="1" applyAlignment="1">
      <alignment vertical="center" wrapText="1"/>
    </xf>
    <xf numFmtId="4" fontId="20" fillId="4" borderId="1" xfId="8" applyNumberFormat="1" applyFont="1" applyFill="1" applyBorder="1" applyAlignment="1">
      <alignment horizontal="justify" vertical="center" wrapText="1"/>
    </xf>
    <xf numFmtId="4" fontId="20" fillId="4" borderId="1" xfId="29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justify" vertical="center"/>
    </xf>
    <xf numFmtId="0" fontId="13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justify" vertical="center"/>
    </xf>
    <xf numFmtId="4" fontId="17" fillId="4" borderId="1" xfId="2" applyNumberFormat="1" applyFont="1" applyFill="1" applyBorder="1" applyAlignment="1">
      <alignment horizontal="justify" vertical="center" wrapText="1"/>
    </xf>
    <xf numFmtId="4" fontId="17" fillId="4" borderId="3" xfId="2" applyNumberFormat="1" applyFont="1" applyFill="1" applyBorder="1" applyAlignment="1">
      <alignment horizontal="justify" vertical="center" wrapText="1"/>
    </xf>
    <xf numFmtId="4" fontId="17" fillId="4" borderId="1" xfId="2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4" fontId="34" fillId="4" borderId="20" xfId="0" applyNumberFormat="1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/>
    <xf numFmtId="0" fontId="13" fillId="4" borderId="3" xfId="0" applyFont="1" applyFill="1" applyBorder="1" applyAlignment="1">
      <alignment vertical="center" wrapText="1"/>
    </xf>
    <xf numFmtId="0" fontId="17" fillId="4" borderId="6" xfId="0" applyFont="1" applyFill="1" applyBorder="1" applyAlignment="1">
      <alignment vertical="center" wrapText="1"/>
    </xf>
    <xf numFmtId="0" fontId="13" fillId="4" borderId="6" xfId="0" applyFont="1" applyFill="1" applyBorder="1" applyAlignment="1"/>
    <xf numFmtId="0" fontId="42" fillId="4" borderId="1" xfId="0" applyFont="1" applyFill="1" applyBorder="1" applyAlignment="1">
      <alignment horizontal="justify" vertical="center" wrapText="1" shrinkToFit="1"/>
    </xf>
    <xf numFmtId="0" fontId="17" fillId="4" borderId="1" xfId="0" applyFont="1" applyFill="1" applyBorder="1" applyAlignment="1">
      <alignment vertical="top" wrapText="1"/>
    </xf>
    <xf numFmtId="4" fontId="42" fillId="4" borderId="1" xfId="0" applyNumberFormat="1" applyFont="1" applyFill="1" applyBorder="1" applyAlignment="1">
      <alignment vertical="center" wrapText="1"/>
    </xf>
    <xf numFmtId="4" fontId="34" fillId="0" borderId="1" xfId="0" applyNumberFormat="1" applyFont="1" applyFill="1" applyBorder="1" applyAlignment="1">
      <alignment vertical="center" wrapText="1"/>
    </xf>
    <xf numFmtId="43" fontId="17" fillId="0" borderId="1" xfId="25" applyFont="1" applyFill="1" applyBorder="1" applyAlignment="1">
      <alignment horizontal="right" vertical="center"/>
    </xf>
    <xf numFmtId="4" fontId="19" fillId="4" borderId="1" xfId="0" applyNumberFormat="1" applyFont="1" applyFill="1" applyBorder="1" applyAlignment="1">
      <alignment vertical="center"/>
    </xf>
    <xf numFmtId="10" fontId="17" fillId="4" borderId="1" xfId="25" applyNumberFormat="1" applyFont="1" applyFill="1" applyBorder="1" applyAlignment="1">
      <alignment horizontal="center" vertical="center"/>
    </xf>
    <xf numFmtId="10" fontId="29" fillId="4" borderId="1" xfId="25" applyNumberFormat="1" applyFont="1" applyFill="1" applyBorder="1" applyAlignment="1">
      <alignment horizontal="center" vertical="center" wrapText="1"/>
    </xf>
    <xf numFmtId="9" fontId="13" fillId="4" borderId="5" xfId="23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/>
    <xf numFmtId="171" fontId="13" fillId="5" borderId="0" xfId="23" applyNumberFormat="1" applyFont="1" applyFill="1"/>
    <xf numFmtId="0" fontId="0" fillId="5" borderId="0" xfId="0" applyFill="1"/>
    <xf numFmtId="4" fontId="13" fillId="5" borderId="1" xfId="0" applyNumberFormat="1" applyFont="1" applyFill="1" applyBorder="1"/>
    <xf numFmtId="0" fontId="13" fillId="5" borderId="1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center" vertical="top" wrapText="1"/>
    </xf>
    <xf numFmtId="43" fontId="17" fillId="5" borderId="1" xfId="25" applyFont="1" applyFill="1" applyBorder="1" applyAlignment="1">
      <alignment vertical="center" wrapText="1"/>
    </xf>
    <xf numFmtId="43" fontId="17" fillId="5" borderId="1" xfId="25" applyFont="1" applyFill="1" applyBorder="1" applyAlignment="1">
      <alignment horizontal="right" vertical="center" wrapText="1"/>
    </xf>
    <xf numFmtId="167" fontId="17" fillId="5" borderId="1" xfId="0" applyNumberFormat="1" applyFont="1" applyFill="1" applyBorder="1" applyAlignment="1">
      <alignment horizontal="justify" vertical="center" wrapText="1" shrinkToFit="1"/>
    </xf>
    <xf numFmtId="0" fontId="13" fillId="5" borderId="1" xfId="21" applyFont="1" applyFill="1" applyBorder="1" applyAlignment="1">
      <alignment horizontal="justify" vertical="center" wrapText="1"/>
    </xf>
    <xf numFmtId="0" fontId="17" fillId="5" borderId="1" xfId="21" applyFont="1" applyFill="1" applyBorder="1" applyAlignment="1">
      <alignment horizontal="justify" vertical="center" wrapText="1"/>
    </xf>
    <xf numFmtId="167" fontId="17" fillId="5" borderId="1" xfId="0" applyNumberFormat="1" applyFont="1" applyFill="1" applyBorder="1" applyAlignment="1">
      <alignment horizontal="justify" vertical="center" wrapText="1"/>
    </xf>
    <xf numFmtId="0" fontId="8" fillId="3" borderId="0" xfId="0" applyFont="1" applyFill="1" applyAlignment="1">
      <alignment horizontal="left" vertical="center" wrapText="1"/>
    </xf>
    <xf numFmtId="4" fontId="9" fillId="3" borderId="41" xfId="0" applyNumberFormat="1" applyFont="1" applyFill="1" applyBorder="1" applyAlignment="1">
      <alignment horizontal="center"/>
    </xf>
    <xf numFmtId="4" fontId="9" fillId="3" borderId="42" xfId="0" applyNumberFormat="1" applyFont="1" applyFill="1" applyBorder="1" applyAlignment="1">
      <alignment horizontal="center"/>
    </xf>
    <xf numFmtId="4" fontId="9" fillId="3" borderId="13" xfId="0" applyNumberFormat="1" applyFont="1" applyFill="1" applyBorder="1" applyAlignment="1">
      <alignment horizontal="center"/>
    </xf>
    <xf numFmtId="4" fontId="13" fillId="3" borderId="30" xfId="0" applyNumberFormat="1" applyFont="1" applyFill="1" applyBorder="1" applyAlignment="1">
      <alignment horizontal="center" vertical="top" wrapText="1"/>
    </xf>
    <xf numFmtId="4" fontId="13" fillId="3" borderId="33" xfId="0" applyNumberFormat="1" applyFont="1" applyFill="1" applyBorder="1" applyAlignment="1">
      <alignment horizontal="center" vertical="top" wrapText="1"/>
    </xf>
    <xf numFmtId="4" fontId="13" fillId="3" borderId="43" xfId="0" applyNumberFormat="1" applyFont="1" applyFill="1" applyBorder="1" applyAlignment="1">
      <alignment horizontal="center" vertical="top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4" fontId="13" fillId="3" borderId="33" xfId="0" applyNumberFormat="1" applyFont="1" applyFill="1" applyBorder="1" applyAlignment="1">
      <alignment horizontal="center" vertical="center" wrapText="1"/>
    </xf>
    <xf numFmtId="4" fontId="13" fillId="3" borderId="30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center" vertical="center" wrapText="1"/>
    </xf>
    <xf numFmtId="4" fontId="9" fillId="3" borderId="41" xfId="0" applyNumberFormat="1" applyFont="1" applyFill="1" applyBorder="1" applyAlignment="1">
      <alignment horizontal="center" vertical="center"/>
    </xf>
    <xf numFmtId="4" fontId="9" fillId="3" borderId="42" xfId="0" applyNumberFormat="1" applyFont="1" applyFill="1" applyBorder="1" applyAlignment="1">
      <alignment horizontal="center" vertical="center"/>
    </xf>
    <xf numFmtId="4" fontId="9" fillId="3" borderId="13" xfId="0" applyNumberFormat="1" applyFont="1" applyFill="1" applyBorder="1" applyAlignment="1">
      <alignment horizontal="center" vertical="center"/>
    </xf>
    <xf numFmtId="4" fontId="17" fillId="3" borderId="3" xfId="2" applyNumberFormat="1" applyFont="1" applyFill="1" applyBorder="1" applyAlignment="1">
      <alignment horizontal="center" vertical="center" wrapText="1"/>
    </xf>
    <xf numFmtId="4" fontId="17" fillId="3" borderId="6" xfId="2" applyNumberFormat="1" applyFont="1" applyFill="1" applyBorder="1" applyAlignment="1">
      <alignment horizontal="center" vertical="center" wrapText="1"/>
    </xf>
    <xf numFmtId="4" fontId="13" fillId="3" borderId="16" xfId="0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/>
    </xf>
    <xf numFmtId="4" fontId="19" fillId="0" borderId="40" xfId="0" applyNumberFormat="1" applyFont="1" applyFill="1" applyBorder="1" applyAlignment="1">
      <alignment horizontal="center"/>
    </xf>
    <xf numFmtId="4" fontId="19" fillId="0" borderId="44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center"/>
    </xf>
    <xf numFmtId="4" fontId="22" fillId="0" borderId="3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22" fillId="0" borderId="3" xfId="0" applyNumberFormat="1" applyFont="1" applyFill="1" applyBorder="1" applyAlignment="1">
      <alignment vertical="top" wrapText="1"/>
    </xf>
    <xf numFmtId="4" fontId="22" fillId="0" borderId="6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" fontId="17" fillId="4" borderId="3" xfId="8" applyNumberFormat="1" applyFont="1" applyFill="1" applyBorder="1" applyAlignment="1">
      <alignment horizontal="center" vertical="center" wrapText="1"/>
    </xf>
    <xf numFmtId="4" fontId="17" fillId="4" borderId="6" xfId="8" applyNumberFormat="1" applyFont="1" applyFill="1" applyBorder="1" applyAlignment="1">
      <alignment horizontal="center" vertical="center" wrapText="1"/>
    </xf>
    <xf numFmtId="167" fontId="17" fillId="4" borderId="3" xfId="0" applyNumberFormat="1" applyFont="1" applyFill="1" applyBorder="1" applyAlignment="1">
      <alignment horizontal="center" vertical="center" wrapText="1"/>
    </xf>
    <xf numFmtId="167" fontId="17" fillId="4" borderId="6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justify" vertical="center" wrapText="1"/>
    </xf>
    <xf numFmtId="0" fontId="31" fillId="4" borderId="6" xfId="0" applyFont="1" applyFill="1" applyBorder="1" applyAlignment="1">
      <alignment horizontal="justify" vertical="center" wrapText="1"/>
    </xf>
    <xf numFmtId="0" fontId="26" fillId="0" borderId="1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4" fontId="17" fillId="6" borderId="1" xfId="8" applyNumberFormat="1" applyFont="1" applyFill="1" applyBorder="1" applyAlignment="1">
      <alignment vertical="center" wrapText="1"/>
    </xf>
    <xf numFmtId="4" fontId="17" fillId="6" borderId="1" xfId="8" applyNumberFormat="1" applyFont="1" applyFill="1" applyBorder="1" applyAlignment="1">
      <alignment horizontal="justify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/>
    <xf numFmtId="4" fontId="17" fillId="6" borderId="1" xfId="29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right" vertical="center" wrapText="1"/>
    </xf>
    <xf numFmtId="167" fontId="17" fillId="6" borderId="1" xfId="0" applyNumberFormat="1" applyFont="1" applyFill="1" applyBorder="1" applyAlignment="1">
      <alignment horizontal="justify" vertical="center" wrapText="1"/>
    </xf>
    <xf numFmtId="0" fontId="17" fillId="6" borderId="1" xfId="0" applyFont="1" applyFill="1" applyBorder="1" applyAlignment="1">
      <alignment horizontal="justify" vertical="center" wrapText="1"/>
    </xf>
    <xf numFmtId="171" fontId="13" fillId="6" borderId="0" xfId="23" applyNumberFormat="1" applyFont="1" applyFill="1"/>
    <xf numFmtId="0" fontId="0" fillId="6" borderId="0" xfId="0" applyFill="1"/>
    <xf numFmtId="0" fontId="13" fillId="6" borderId="1" xfId="0" applyFont="1" applyFill="1" applyBorder="1" applyAlignment="1">
      <alignment horizontal="center"/>
    </xf>
  </cellXfs>
  <cellStyles count="66">
    <cellStyle name="Excel Built-in Normal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42"/>
    <cellStyle name="Обычный 2 2 3" xfId="41"/>
    <cellStyle name="Обычный 2 3" xfId="5"/>
    <cellStyle name="Обычный 2 3 2" xfId="6"/>
    <cellStyle name="Обычный 2 3 2 2" xfId="44"/>
    <cellStyle name="Обычный 2 3 3" xfId="43"/>
    <cellStyle name="Обычный 2 4" xfId="7"/>
    <cellStyle name="Обычный 2 4 2" xfId="45"/>
    <cellStyle name="Обычный 2 5" xfId="8"/>
    <cellStyle name="Обычный 2 5 2" xfId="46"/>
    <cellStyle name="Обычный 2 6" xfId="35"/>
    <cellStyle name="Обычный 2 7" xfId="40"/>
    <cellStyle name="Обычный 3" xfId="9"/>
    <cellStyle name="Обычный 3 2" xfId="10"/>
    <cellStyle name="Обычный 3 2 2" xfId="11"/>
    <cellStyle name="Обычный 3 2 2 2" xfId="49"/>
    <cellStyle name="Обычный 3 2 3" xfId="48"/>
    <cellStyle name="Обычный 3 3" xfId="12"/>
    <cellStyle name="Обычный 3 3 2" xfId="13"/>
    <cellStyle name="Обычный 3 3 2 2" xfId="51"/>
    <cellStyle name="Обычный 3 3 3" xfId="50"/>
    <cellStyle name="Обычный 3 4" xfId="14"/>
    <cellStyle name="Обычный 3 4 2" xfId="52"/>
    <cellStyle name="Обычный 3 5" xfId="37"/>
    <cellStyle name="Обычный 3 6" xfId="47"/>
    <cellStyle name="Обычный 4" xfId="15"/>
    <cellStyle name="Обычный 4 2" xfId="16"/>
    <cellStyle name="Обычный 4 2 2" xfId="17"/>
    <cellStyle name="Обычный 4 2 2 2" xfId="55"/>
    <cellStyle name="Обычный 4 2 3" xfId="54"/>
    <cellStyle name="Обычный 4 3" xfId="18"/>
    <cellStyle name="Обычный 4 3 2" xfId="19"/>
    <cellStyle name="Обычный 4 3 2 2" xfId="57"/>
    <cellStyle name="Обычный 4 3 3" xfId="56"/>
    <cellStyle name="Обычный 4 4" xfId="20"/>
    <cellStyle name="Обычный 4 4 2" xfId="58"/>
    <cellStyle name="Обычный 4 5" xfId="38"/>
    <cellStyle name="Обычный 4 6" xfId="53"/>
    <cellStyle name="Обычный 5" xfId="21"/>
    <cellStyle name="Обычный 6" xfId="22"/>
    <cellStyle name="Обычный 6 2" xfId="59"/>
    <cellStyle name="Процентный" xfId="23" builtinId="5"/>
    <cellStyle name="Процентный 2" xfId="24"/>
    <cellStyle name="Финансовый" xfId="25" builtinId="3"/>
    <cellStyle name="Финансовый 2" xfId="26"/>
    <cellStyle name="Финансовый 2 2" xfId="27"/>
    <cellStyle name="Финансовый 2 2 2" xfId="60"/>
    <cellStyle name="Финансовый 2 3" xfId="28"/>
    <cellStyle name="Финансовый 2 3 2" xfId="61"/>
    <cellStyle name="Финансовый 2 4" xfId="29"/>
    <cellStyle name="Финансовый 2 5" xfId="36"/>
    <cellStyle name="Финансовый 3" xfId="30"/>
    <cellStyle name="Финансовый 3 2" xfId="31"/>
    <cellStyle name="Финансовый 3 2 2" xfId="63"/>
    <cellStyle name="Финансовый 3 3" xfId="32"/>
    <cellStyle name="Финансовый 3 3 2" xfId="64"/>
    <cellStyle name="Финансовый 3 4" xfId="39"/>
    <cellStyle name="Финансовый 3 5" xfId="62"/>
    <cellStyle name="Финансовый 4" xfId="33"/>
    <cellStyle name="Финансовый 4 2" xfId="65"/>
    <cellStyle name="Финансовый 5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9"/>
  <sheetViews>
    <sheetView view="pageBreakPreview" zoomScale="65" zoomScaleNormal="90" zoomScaleSheetLayoutView="65" workbookViewId="0">
      <pane ySplit="8" topLeftCell="A70" activePane="bottomLeft" state="frozen"/>
      <selection pane="bottomLeft" activeCell="S170" sqref="S170"/>
    </sheetView>
  </sheetViews>
  <sheetFormatPr defaultColWidth="9.140625" defaultRowHeight="15" x14ac:dyDescent="0.25"/>
  <cols>
    <col min="1" max="1" width="6.42578125" style="148" customWidth="1"/>
    <col min="2" max="2" width="31.42578125" style="148" customWidth="1"/>
    <col min="3" max="3" width="15.140625" style="154" customWidth="1"/>
    <col min="4" max="4" width="17" style="155" customWidth="1"/>
    <col min="5" max="5" width="16" style="156" customWidth="1"/>
    <col min="6" max="6" width="5.5703125" style="148" customWidth="1"/>
    <col min="7" max="7" width="5.85546875" style="148" customWidth="1"/>
    <col min="8" max="8" width="17" style="155" customWidth="1"/>
    <col min="9" max="9" width="16" style="156" customWidth="1"/>
    <col min="10" max="10" width="4.85546875" style="148" customWidth="1"/>
    <col min="11" max="11" width="5" style="148" customWidth="1"/>
    <col min="12" max="12" width="18.5703125" style="148" customWidth="1"/>
    <col min="13" max="13" width="16" style="148" customWidth="1"/>
    <col min="14" max="14" width="4.7109375" style="148" customWidth="1"/>
    <col min="15" max="15" width="6.28515625" style="148" customWidth="1"/>
    <col min="16" max="16" width="14.28515625" style="148" customWidth="1"/>
    <col min="17" max="17" width="9.140625" style="148" customWidth="1"/>
    <col min="18" max="18" width="11.28515625" style="148" bestFit="1" customWidth="1"/>
    <col min="19" max="19" width="23.5703125" style="148" customWidth="1"/>
    <col min="20" max="20" width="12.7109375" style="148" bestFit="1" customWidth="1"/>
    <col min="21" max="21" width="14.28515625" style="148" bestFit="1" customWidth="1"/>
    <col min="22" max="22" width="11.5703125" style="148" bestFit="1" customWidth="1"/>
    <col min="23" max="23" width="10.42578125" style="148" bestFit="1" customWidth="1"/>
    <col min="24" max="24" width="11.5703125" style="148" bestFit="1" customWidth="1"/>
    <col min="25" max="16384" width="9.140625" style="148"/>
  </cols>
  <sheetData>
    <row r="1" spans="1:17" x14ac:dyDescent="0.25">
      <c r="M1" s="124" t="s">
        <v>477</v>
      </c>
    </row>
    <row r="2" spans="1:17" ht="18.75" x14ac:dyDescent="0.3">
      <c r="A2" s="624" t="s">
        <v>10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7" ht="18.75" x14ac:dyDescent="0.3">
      <c r="A3" s="624" t="s">
        <v>476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</row>
    <row r="4" spans="1:17" ht="18.75" x14ac:dyDescent="0.3">
      <c r="A4" s="125"/>
      <c r="B4" s="125"/>
      <c r="C4" s="157"/>
      <c r="D4" s="158"/>
      <c r="E4" s="159"/>
      <c r="F4" s="125"/>
      <c r="G4" s="125"/>
      <c r="H4" s="158"/>
      <c r="I4" s="159"/>
      <c r="J4" s="125"/>
      <c r="K4" s="125"/>
      <c r="L4" s="125"/>
      <c r="M4" s="125"/>
      <c r="N4" s="125"/>
      <c r="O4" s="633"/>
      <c r="P4" s="633"/>
    </row>
    <row r="5" spans="1:17" s="160" customFormat="1" ht="42" customHeight="1" x14ac:dyDescent="0.2">
      <c r="A5" s="625" t="s">
        <v>156</v>
      </c>
      <c r="B5" s="625" t="s">
        <v>157</v>
      </c>
      <c r="C5" s="625" t="s">
        <v>158</v>
      </c>
      <c r="D5" s="630" t="s">
        <v>465</v>
      </c>
      <c r="E5" s="631"/>
      <c r="F5" s="631"/>
      <c r="G5" s="632"/>
      <c r="H5" s="630" t="s">
        <v>466</v>
      </c>
      <c r="I5" s="631"/>
      <c r="J5" s="631"/>
      <c r="K5" s="632"/>
      <c r="L5" s="630" t="s">
        <v>159</v>
      </c>
      <c r="M5" s="631"/>
      <c r="N5" s="631"/>
      <c r="O5" s="632"/>
      <c r="P5" s="625" t="s">
        <v>160</v>
      </c>
    </row>
    <row r="6" spans="1:17" s="160" customFormat="1" ht="42" customHeight="1" x14ac:dyDescent="0.2">
      <c r="A6" s="626"/>
      <c r="B6" s="626"/>
      <c r="C6" s="626"/>
      <c r="D6" s="318" t="s">
        <v>161</v>
      </c>
      <c r="E6" s="161" t="s">
        <v>162</v>
      </c>
      <c r="F6" s="318" t="s">
        <v>163</v>
      </c>
      <c r="G6" s="318" t="s">
        <v>164</v>
      </c>
      <c r="H6" s="318" t="s">
        <v>161</v>
      </c>
      <c r="I6" s="161" t="s">
        <v>162</v>
      </c>
      <c r="J6" s="318" t="s">
        <v>163</v>
      </c>
      <c r="K6" s="318" t="s">
        <v>164</v>
      </c>
      <c r="L6" s="318" t="s">
        <v>161</v>
      </c>
      <c r="M6" s="318" t="s">
        <v>162</v>
      </c>
      <c r="N6" s="318" t="s">
        <v>163</v>
      </c>
      <c r="O6" s="318" t="s">
        <v>164</v>
      </c>
      <c r="P6" s="626"/>
    </row>
    <row r="7" spans="1:17" s="160" customFormat="1" ht="14.25" customHeight="1" thickBot="1" x14ac:dyDescent="0.25">
      <c r="A7" s="318">
        <v>1</v>
      </c>
      <c r="B7" s="318">
        <v>2</v>
      </c>
      <c r="C7" s="162">
        <v>3</v>
      </c>
      <c r="D7" s="318">
        <v>4</v>
      </c>
      <c r="E7" s="161">
        <v>5</v>
      </c>
      <c r="F7" s="318">
        <v>6</v>
      </c>
      <c r="G7" s="318">
        <v>7</v>
      </c>
      <c r="H7" s="318">
        <v>4</v>
      </c>
      <c r="I7" s="161">
        <v>5</v>
      </c>
      <c r="J7" s="318">
        <v>10</v>
      </c>
      <c r="K7" s="318">
        <v>11</v>
      </c>
      <c r="L7" s="318">
        <v>12</v>
      </c>
      <c r="M7" s="318">
        <v>13</v>
      </c>
      <c r="N7" s="318">
        <v>14</v>
      </c>
      <c r="O7" s="318">
        <v>15</v>
      </c>
      <c r="P7" s="318">
        <v>16</v>
      </c>
    </row>
    <row r="8" spans="1:17" ht="19.5" customHeight="1" thickBot="1" x14ac:dyDescent="0.3">
      <c r="A8" s="627" t="s">
        <v>165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9"/>
    </row>
    <row r="9" spans="1:17" s="164" customFormat="1" ht="38.25" customHeight="1" x14ac:dyDescent="0.2">
      <c r="A9" s="323" t="s">
        <v>188</v>
      </c>
      <c r="B9" s="324" t="s">
        <v>199</v>
      </c>
      <c r="C9" s="640" t="s">
        <v>69</v>
      </c>
      <c r="D9" s="325"/>
      <c r="E9" s="326">
        <v>268913.5</v>
      </c>
      <c r="F9" s="327"/>
      <c r="G9" s="328"/>
      <c r="H9" s="325"/>
      <c r="I9" s="326">
        <v>268913.5</v>
      </c>
      <c r="J9" s="327"/>
      <c r="K9" s="329"/>
      <c r="L9" s="325"/>
      <c r="M9" s="330">
        <v>246115.8</v>
      </c>
      <c r="N9" s="327"/>
      <c r="O9" s="331"/>
      <c r="P9" s="332"/>
      <c r="Q9" s="163">
        <f>M9/E9</f>
        <v>0.91522292484386236</v>
      </c>
    </row>
    <row r="10" spans="1:17" s="164" customFormat="1" ht="38.25" x14ac:dyDescent="0.2">
      <c r="A10" s="149" t="s">
        <v>189</v>
      </c>
      <c r="B10" s="333" t="s">
        <v>200</v>
      </c>
      <c r="C10" s="641"/>
      <c r="D10" s="334"/>
      <c r="E10" s="131">
        <v>99568.7</v>
      </c>
      <c r="F10" s="165"/>
      <c r="G10" s="335"/>
      <c r="H10" s="334"/>
      <c r="I10" s="131">
        <v>99568.7</v>
      </c>
      <c r="J10" s="165"/>
      <c r="K10" s="336"/>
      <c r="L10" s="334"/>
      <c r="M10" s="126">
        <v>75301.95</v>
      </c>
      <c r="N10" s="165"/>
      <c r="O10" s="166"/>
      <c r="P10" s="167"/>
      <c r="Q10" s="163">
        <f t="shared" ref="Q10:Q75" si="0">M10/E10</f>
        <v>0.75628134142556847</v>
      </c>
    </row>
    <row r="11" spans="1:17" s="344" customFormat="1" ht="38.25" x14ac:dyDescent="0.15">
      <c r="A11" s="168" t="s">
        <v>190</v>
      </c>
      <c r="B11" s="169" t="s">
        <v>201</v>
      </c>
      <c r="C11" s="641"/>
      <c r="D11" s="337"/>
      <c r="E11" s="127">
        <f>E12+E13</f>
        <v>63900</v>
      </c>
      <c r="F11" s="338"/>
      <c r="G11" s="339"/>
      <c r="H11" s="337"/>
      <c r="I11" s="127">
        <f>I12+I13</f>
        <v>63900</v>
      </c>
      <c r="J11" s="338"/>
      <c r="K11" s="340"/>
      <c r="L11" s="337"/>
      <c r="M11" s="127">
        <f>M12+M13</f>
        <v>62095.990000000005</v>
      </c>
      <c r="N11" s="170"/>
      <c r="O11" s="341"/>
      <c r="P11" s="342"/>
      <c r="Q11" s="343">
        <f t="shared" si="0"/>
        <v>0.97176823161189363</v>
      </c>
    </row>
    <row r="12" spans="1:17" s="164" customFormat="1" ht="38.25" x14ac:dyDescent="0.2">
      <c r="A12" s="149" t="s">
        <v>251</v>
      </c>
      <c r="B12" s="333" t="s">
        <v>202</v>
      </c>
      <c r="C12" s="641"/>
      <c r="D12" s="334"/>
      <c r="E12" s="131">
        <v>3100</v>
      </c>
      <c r="F12" s="165"/>
      <c r="G12" s="335"/>
      <c r="H12" s="334"/>
      <c r="I12" s="131">
        <v>3100</v>
      </c>
      <c r="J12" s="165"/>
      <c r="K12" s="336"/>
      <c r="L12" s="334"/>
      <c r="M12" s="126">
        <v>1599.9949999999999</v>
      </c>
      <c r="N12" s="165"/>
      <c r="O12" s="166"/>
      <c r="P12" s="167"/>
      <c r="Q12" s="163">
        <f t="shared" si="0"/>
        <v>0.51612741935483863</v>
      </c>
    </row>
    <row r="13" spans="1:17" s="164" customFormat="1" ht="165.75" x14ac:dyDescent="0.2">
      <c r="A13" s="149" t="s">
        <v>252</v>
      </c>
      <c r="B13" s="333" t="s">
        <v>304</v>
      </c>
      <c r="C13" s="641"/>
      <c r="D13" s="334"/>
      <c r="E13" s="131">
        <v>60800</v>
      </c>
      <c r="F13" s="165"/>
      <c r="G13" s="335"/>
      <c r="H13" s="334"/>
      <c r="I13" s="131">
        <v>60800</v>
      </c>
      <c r="J13" s="165"/>
      <c r="K13" s="336"/>
      <c r="L13" s="334"/>
      <c r="M13" s="126">
        <v>60495.995000000003</v>
      </c>
      <c r="N13" s="165"/>
      <c r="O13" s="166"/>
      <c r="P13" s="167"/>
      <c r="Q13" s="163">
        <f t="shared" si="0"/>
        <v>0.99499991776315799</v>
      </c>
    </row>
    <row r="14" spans="1:17" s="164" customFormat="1" ht="63.75" x14ac:dyDescent="0.2">
      <c r="A14" s="149" t="s">
        <v>191</v>
      </c>
      <c r="B14" s="333" t="s">
        <v>305</v>
      </c>
      <c r="C14" s="641"/>
      <c r="D14" s="334"/>
      <c r="E14" s="131">
        <v>12831</v>
      </c>
      <c r="F14" s="165"/>
      <c r="G14" s="335"/>
      <c r="H14" s="334"/>
      <c r="I14" s="131">
        <v>12831</v>
      </c>
      <c r="J14" s="165"/>
      <c r="K14" s="336"/>
      <c r="L14" s="334"/>
      <c r="M14" s="126">
        <v>12830.877</v>
      </c>
      <c r="N14" s="165"/>
      <c r="O14" s="166"/>
      <c r="P14" s="167"/>
      <c r="Q14" s="163">
        <f t="shared" si="0"/>
        <v>0.99999041384147769</v>
      </c>
    </row>
    <row r="15" spans="1:17" s="164" customFormat="1" ht="38.25" customHeight="1" x14ac:dyDescent="0.2">
      <c r="A15" s="168" t="s">
        <v>192</v>
      </c>
      <c r="B15" s="169" t="s">
        <v>193</v>
      </c>
      <c r="C15" s="641"/>
      <c r="D15" s="127">
        <f>D16+D17+D18+D19+D20+D21+D22+D23+D24+D25+D26+D27+D28+D29+D30+D31+D33+D34+D35+D36+D37+D38+D39+D40+D41+D42+D43+D44+D45+D46+D47+D48+D49+D50+D51+D52+D53+D54+D55+D32</f>
        <v>972756.6</v>
      </c>
      <c r="E15" s="127">
        <f>E16+E17+E18+E19+E20+E21+E22+E23+E24+E25+E26+E27+E28+E29+E30+E31+E33+E34+E35+E36+E37+E38+E39+E40+E41+E42+E43+E44+E45+E46+E47+E48+E49+E50+E51+E52+E53+E54+E55+E32</f>
        <v>3076034.9999999986</v>
      </c>
      <c r="F15" s="170"/>
      <c r="G15" s="171"/>
      <c r="H15" s="127">
        <f>H16+H17+H18+H19+H20+H21+H22+H23+H24+H25+H26+H27+H28+H29+H30+H31+H33+H34+H35+H36+H37+H38+H39+H40+H41+H42+H43+H44+H45+H46+H47+H48+H49+H50+H51+H52+H53+H54+H55+H32</f>
        <v>972756.6</v>
      </c>
      <c r="I15" s="127">
        <f>I16+I17+I18+I19+I20+I21+I22+I23+I24+I25+I26+I27+I28+I29+I30+I31+I33+I34+I35+I36+I37+I38+I39+I40+I41+I42+I43+I44+I45+I46+I47+I48+I49+I50+I51+I52+I53+I54+I55+I32</f>
        <v>3076034.9999999986</v>
      </c>
      <c r="J15" s="170"/>
      <c r="K15" s="171"/>
      <c r="L15" s="172">
        <f>L16+L17+L18+L19+L20+L21+L22+L23+L24+L25+L26+L27+L28+L29+L30+L31+L33+L34+L35+L36+L37+L38+L39+L40+L41+L42+L43+L44+L45+L46+L47+L48+L49+L50+L51+L52+L53+L54+L55+L32</f>
        <v>686218.63991999999</v>
      </c>
      <c r="M15" s="127">
        <f>M16+M17+M18+M19+M20+M21+M22+M23+M24+M25+M26+M27+M28+M29+M30+M31+M33+M34+M35+M36+M37+M38+M39+M40+M41+M42+M43+M44+M45+M46+M47+M48+M49+M50+M51+M52+M53+M54+M55+M32</f>
        <v>2927593.5049999999</v>
      </c>
      <c r="N15" s="165"/>
      <c r="O15" s="166"/>
      <c r="P15" s="167"/>
      <c r="Q15" s="163">
        <f t="shared" si="0"/>
        <v>0.9517425858288352</v>
      </c>
    </row>
    <row r="16" spans="1:17" s="164" customFormat="1" ht="25.5" x14ac:dyDescent="0.2">
      <c r="A16" s="149" t="s">
        <v>253</v>
      </c>
      <c r="B16" s="333" t="s">
        <v>203</v>
      </c>
      <c r="C16" s="641"/>
      <c r="D16" s="150"/>
      <c r="E16" s="131">
        <v>1204027.2</v>
      </c>
      <c r="F16" s="173"/>
      <c r="G16" s="174"/>
      <c r="H16" s="150"/>
      <c r="I16" s="131">
        <v>1204027.2</v>
      </c>
      <c r="J16" s="173"/>
      <c r="K16" s="345"/>
      <c r="L16" s="175"/>
      <c r="M16" s="126">
        <v>1197681.8640000001</v>
      </c>
      <c r="N16" s="173"/>
      <c r="O16" s="176"/>
      <c r="P16" s="177"/>
      <c r="Q16" s="163">
        <f t="shared" si="0"/>
        <v>0.9947299064340076</v>
      </c>
    </row>
    <row r="17" spans="1:17" s="164" customFormat="1" ht="25.5" x14ac:dyDescent="0.2">
      <c r="A17" s="149" t="s">
        <v>254</v>
      </c>
      <c r="B17" s="333" t="s">
        <v>204</v>
      </c>
      <c r="C17" s="641"/>
      <c r="D17" s="150"/>
      <c r="E17" s="131">
        <v>2651.3</v>
      </c>
      <c r="F17" s="173"/>
      <c r="G17" s="174"/>
      <c r="H17" s="150"/>
      <c r="I17" s="131">
        <v>2651.3</v>
      </c>
      <c r="J17" s="173"/>
      <c r="K17" s="345"/>
      <c r="L17" s="175"/>
      <c r="M17" s="126">
        <v>2249.8440000000001</v>
      </c>
      <c r="N17" s="173"/>
      <c r="O17" s="176"/>
      <c r="P17" s="177"/>
      <c r="Q17" s="163">
        <f t="shared" si="0"/>
        <v>0.84858145060913515</v>
      </c>
    </row>
    <row r="18" spans="1:17" s="164" customFormat="1" ht="51" x14ac:dyDescent="0.2">
      <c r="A18" s="149" t="s">
        <v>255</v>
      </c>
      <c r="B18" s="333" t="s">
        <v>205</v>
      </c>
      <c r="C18" s="641"/>
      <c r="D18" s="150"/>
      <c r="E18" s="131">
        <v>25663.599999999999</v>
      </c>
      <c r="F18" s="173"/>
      <c r="G18" s="174"/>
      <c r="H18" s="150"/>
      <c r="I18" s="131">
        <v>25663.599999999999</v>
      </c>
      <c r="J18" s="173"/>
      <c r="K18" s="345"/>
      <c r="L18" s="175"/>
      <c r="M18" s="126">
        <v>23876.866999999998</v>
      </c>
      <c r="N18" s="173"/>
      <c r="O18" s="176"/>
      <c r="P18" s="177"/>
      <c r="Q18" s="163">
        <f t="shared" si="0"/>
        <v>0.9303787075858414</v>
      </c>
    </row>
    <row r="19" spans="1:17" s="164" customFormat="1" ht="38.25" x14ac:dyDescent="0.2">
      <c r="A19" s="149" t="s">
        <v>256</v>
      </c>
      <c r="B19" s="333" t="s">
        <v>306</v>
      </c>
      <c r="C19" s="641"/>
      <c r="D19" s="150"/>
      <c r="E19" s="131">
        <v>1257443.7</v>
      </c>
      <c r="F19" s="173"/>
      <c r="G19" s="174"/>
      <c r="H19" s="150"/>
      <c r="I19" s="131">
        <v>1257443.7</v>
      </c>
      <c r="J19" s="173"/>
      <c r="K19" s="345"/>
      <c r="L19" s="175"/>
      <c r="M19" s="126">
        <v>1157786.96</v>
      </c>
      <c r="N19" s="173"/>
      <c r="O19" s="176"/>
      <c r="P19" s="177"/>
      <c r="Q19" s="163">
        <f t="shared" si="0"/>
        <v>0.92074655907059699</v>
      </c>
    </row>
    <row r="20" spans="1:17" s="164" customFormat="1" ht="102" customHeight="1" x14ac:dyDescent="0.2">
      <c r="A20" s="149" t="s">
        <v>257</v>
      </c>
      <c r="B20" s="333" t="s">
        <v>206</v>
      </c>
      <c r="C20" s="622" t="s">
        <v>69</v>
      </c>
      <c r="D20" s="150"/>
      <c r="E20" s="131">
        <v>16150.5</v>
      </c>
      <c r="F20" s="173"/>
      <c r="G20" s="174"/>
      <c r="H20" s="150"/>
      <c r="I20" s="131">
        <v>16150.5</v>
      </c>
      <c r="J20" s="173"/>
      <c r="K20" s="345"/>
      <c r="L20" s="175"/>
      <c r="M20" s="126">
        <v>15441.99</v>
      </c>
      <c r="N20" s="173"/>
      <c r="O20" s="176"/>
      <c r="P20" s="177"/>
      <c r="Q20" s="163">
        <f t="shared" si="0"/>
        <v>0.95613076994520296</v>
      </c>
    </row>
    <row r="21" spans="1:17" s="164" customFormat="1" ht="51" x14ac:dyDescent="0.2">
      <c r="A21" s="149" t="s">
        <v>258</v>
      </c>
      <c r="B21" s="333" t="s">
        <v>207</v>
      </c>
      <c r="C21" s="622"/>
      <c r="D21" s="150"/>
      <c r="E21" s="131">
        <v>104484.3</v>
      </c>
      <c r="F21" s="173"/>
      <c r="G21" s="174"/>
      <c r="H21" s="150"/>
      <c r="I21" s="131">
        <v>104484.3</v>
      </c>
      <c r="J21" s="173"/>
      <c r="K21" s="345"/>
      <c r="L21" s="175"/>
      <c r="M21" s="126">
        <v>101270.3</v>
      </c>
      <c r="N21" s="173"/>
      <c r="O21" s="176"/>
      <c r="P21" s="177"/>
      <c r="Q21" s="163">
        <f t="shared" si="0"/>
        <v>0.96923939768941358</v>
      </c>
    </row>
    <row r="22" spans="1:17" s="164" customFormat="1" ht="38.25" x14ac:dyDescent="0.2">
      <c r="A22" s="149" t="s">
        <v>259</v>
      </c>
      <c r="B22" s="333" t="s">
        <v>208</v>
      </c>
      <c r="C22" s="622"/>
      <c r="D22" s="150"/>
      <c r="E22" s="131">
        <v>7660.4</v>
      </c>
      <c r="F22" s="173"/>
      <c r="G22" s="174"/>
      <c r="H22" s="150"/>
      <c r="I22" s="131">
        <v>7660.4</v>
      </c>
      <c r="J22" s="173"/>
      <c r="K22" s="345"/>
      <c r="L22" s="175"/>
      <c r="M22" s="126">
        <v>6903.56</v>
      </c>
      <c r="N22" s="173"/>
      <c r="O22" s="176"/>
      <c r="P22" s="177"/>
      <c r="Q22" s="163">
        <f t="shared" si="0"/>
        <v>0.90120098167197549</v>
      </c>
    </row>
    <row r="23" spans="1:17" s="164" customFormat="1" ht="255" x14ac:dyDescent="0.2">
      <c r="A23" s="149" t="s">
        <v>260</v>
      </c>
      <c r="B23" s="333" t="s">
        <v>209</v>
      </c>
      <c r="C23" s="622"/>
      <c r="D23" s="150"/>
      <c r="E23" s="131">
        <v>294.10000000000002</v>
      </c>
      <c r="F23" s="173"/>
      <c r="G23" s="174"/>
      <c r="H23" s="150"/>
      <c r="I23" s="131">
        <v>294.10000000000002</v>
      </c>
      <c r="J23" s="173"/>
      <c r="K23" s="345"/>
      <c r="L23" s="175"/>
      <c r="M23" s="126">
        <v>0</v>
      </c>
      <c r="N23" s="173"/>
      <c r="O23" s="176"/>
      <c r="P23" s="177"/>
      <c r="Q23" s="163">
        <f t="shared" si="0"/>
        <v>0</v>
      </c>
    </row>
    <row r="24" spans="1:17" s="164" customFormat="1" ht="89.25" customHeight="1" x14ac:dyDescent="0.2">
      <c r="A24" s="149" t="s">
        <v>261</v>
      </c>
      <c r="B24" s="333" t="s">
        <v>210</v>
      </c>
      <c r="C24" s="622"/>
      <c r="D24" s="150"/>
      <c r="E24" s="131">
        <v>253292.1</v>
      </c>
      <c r="F24" s="173"/>
      <c r="G24" s="174"/>
      <c r="H24" s="150"/>
      <c r="I24" s="131">
        <v>253292.1</v>
      </c>
      <c r="J24" s="173"/>
      <c r="K24" s="345"/>
      <c r="L24" s="175"/>
      <c r="M24" s="126">
        <v>252835.52</v>
      </c>
      <c r="N24" s="173"/>
      <c r="O24" s="176"/>
      <c r="P24" s="177"/>
      <c r="Q24" s="163">
        <f t="shared" si="0"/>
        <v>0.99819741713223575</v>
      </c>
    </row>
    <row r="25" spans="1:17" s="164" customFormat="1" ht="51" x14ac:dyDescent="0.2">
      <c r="A25" s="149" t="s">
        <v>262</v>
      </c>
      <c r="B25" s="333" t="s">
        <v>211</v>
      </c>
      <c r="C25" s="622"/>
      <c r="D25" s="150"/>
      <c r="E25" s="131">
        <v>7816.4</v>
      </c>
      <c r="F25" s="173"/>
      <c r="G25" s="174"/>
      <c r="H25" s="150"/>
      <c r="I25" s="131">
        <v>7816.4</v>
      </c>
      <c r="J25" s="173"/>
      <c r="K25" s="345"/>
      <c r="L25" s="175"/>
      <c r="M25" s="126">
        <v>7710.9459999999999</v>
      </c>
      <c r="N25" s="173"/>
      <c r="O25" s="176"/>
      <c r="P25" s="177"/>
      <c r="Q25" s="163">
        <f t="shared" si="0"/>
        <v>0.9865086228954506</v>
      </c>
    </row>
    <row r="26" spans="1:17" s="164" customFormat="1" ht="63.75" x14ac:dyDescent="0.2">
      <c r="A26" s="149" t="s">
        <v>263</v>
      </c>
      <c r="B26" s="333" t="s">
        <v>212</v>
      </c>
      <c r="C26" s="622"/>
      <c r="D26" s="150"/>
      <c r="E26" s="131">
        <v>140</v>
      </c>
      <c r="F26" s="173"/>
      <c r="G26" s="174"/>
      <c r="H26" s="150"/>
      <c r="I26" s="131">
        <v>140</v>
      </c>
      <c r="J26" s="173"/>
      <c r="K26" s="345"/>
      <c r="L26" s="175"/>
      <c r="M26" s="126">
        <v>52</v>
      </c>
      <c r="N26" s="173"/>
      <c r="O26" s="176"/>
      <c r="P26" s="177"/>
      <c r="Q26" s="163">
        <f t="shared" si="0"/>
        <v>0.37142857142857144</v>
      </c>
    </row>
    <row r="27" spans="1:17" s="164" customFormat="1" ht="51" x14ac:dyDescent="0.2">
      <c r="A27" s="149" t="s">
        <v>264</v>
      </c>
      <c r="B27" s="333" t="s">
        <v>213</v>
      </c>
      <c r="C27" s="622"/>
      <c r="D27" s="150"/>
      <c r="E27" s="131">
        <v>488.3</v>
      </c>
      <c r="F27" s="173"/>
      <c r="G27" s="174"/>
      <c r="H27" s="150"/>
      <c r="I27" s="131">
        <v>488.3</v>
      </c>
      <c r="J27" s="173"/>
      <c r="K27" s="345"/>
      <c r="L27" s="175"/>
      <c r="M27" s="126">
        <v>484.48500000000001</v>
      </c>
      <c r="N27" s="173"/>
      <c r="O27" s="176"/>
      <c r="P27" s="177"/>
      <c r="Q27" s="163">
        <f t="shared" si="0"/>
        <v>0.99218718001228756</v>
      </c>
    </row>
    <row r="28" spans="1:17" s="164" customFormat="1" ht="229.5" x14ac:dyDescent="0.2">
      <c r="A28" s="149" t="s">
        <v>265</v>
      </c>
      <c r="B28" s="333" t="s">
        <v>307</v>
      </c>
      <c r="C28" s="622" t="s">
        <v>69</v>
      </c>
      <c r="D28" s="150"/>
      <c r="E28" s="131">
        <v>2365.1</v>
      </c>
      <c r="F28" s="173"/>
      <c r="G28" s="174"/>
      <c r="H28" s="150"/>
      <c r="I28" s="131">
        <v>2365.1</v>
      </c>
      <c r="J28" s="173"/>
      <c r="K28" s="345"/>
      <c r="L28" s="175"/>
      <c r="M28" s="126">
        <v>2253.9589999999998</v>
      </c>
      <c r="N28" s="173"/>
      <c r="O28" s="176"/>
      <c r="P28" s="177"/>
      <c r="Q28" s="163">
        <f t="shared" si="0"/>
        <v>0.95300790664242518</v>
      </c>
    </row>
    <row r="29" spans="1:17" s="164" customFormat="1" ht="63.75" x14ac:dyDescent="0.2">
      <c r="A29" s="149" t="s">
        <v>266</v>
      </c>
      <c r="B29" s="333" t="s">
        <v>214</v>
      </c>
      <c r="C29" s="622"/>
      <c r="D29" s="150"/>
      <c r="E29" s="131">
        <v>22.3</v>
      </c>
      <c r="F29" s="173"/>
      <c r="G29" s="174"/>
      <c r="H29" s="150"/>
      <c r="I29" s="131">
        <v>22.3</v>
      </c>
      <c r="J29" s="173"/>
      <c r="K29" s="345"/>
      <c r="L29" s="175"/>
      <c r="M29" s="126">
        <v>0</v>
      </c>
      <c r="N29" s="173"/>
      <c r="O29" s="176"/>
      <c r="P29" s="177"/>
      <c r="Q29" s="163">
        <f t="shared" si="0"/>
        <v>0</v>
      </c>
    </row>
    <row r="30" spans="1:17" s="164" customFormat="1" ht="51" x14ac:dyDescent="0.2">
      <c r="A30" s="149" t="s">
        <v>267</v>
      </c>
      <c r="B30" s="333" t="s">
        <v>215</v>
      </c>
      <c r="C30" s="622"/>
      <c r="D30" s="150"/>
      <c r="E30" s="131">
        <v>2019.3</v>
      </c>
      <c r="F30" s="173"/>
      <c r="G30" s="174"/>
      <c r="H30" s="150"/>
      <c r="I30" s="131">
        <v>2019.3</v>
      </c>
      <c r="J30" s="173"/>
      <c r="K30" s="345"/>
      <c r="L30" s="175"/>
      <c r="M30" s="126">
        <v>1847.95</v>
      </c>
      <c r="N30" s="173"/>
      <c r="O30" s="176"/>
      <c r="P30" s="177"/>
      <c r="Q30" s="163">
        <f t="shared" si="0"/>
        <v>0.91514386173426443</v>
      </c>
    </row>
    <row r="31" spans="1:17" s="164" customFormat="1" ht="89.25" x14ac:dyDescent="0.2">
      <c r="A31" s="638" t="s">
        <v>268</v>
      </c>
      <c r="B31" s="638" t="s">
        <v>168</v>
      </c>
      <c r="C31" s="346" t="s">
        <v>70</v>
      </c>
      <c r="D31" s="150"/>
      <c r="E31" s="131">
        <v>6643.5</v>
      </c>
      <c r="F31" s="173"/>
      <c r="G31" s="174"/>
      <c r="H31" s="150"/>
      <c r="I31" s="131">
        <v>6643.5</v>
      </c>
      <c r="J31" s="173"/>
      <c r="K31" s="345"/>
      <c r="L31" s="175"/>
      <c r="M31" s="126">
        <v>2035.32</v>
      </c>
      <c r="N31" s="173"/>
      <c r="O31" s="176"/>
      <c r="P31" s="177"/>
      <c r="Q31" s="163">
        <f t="shared" si="0"/>
        <v>0.30636261006999321</v>
      </c>
    </row>
    <row r="32" spans="1:17" s="164" customFormat="1" ht="38.25" x14ac:dyDescent="0.2">
      <c r="A32" s="639"/>
      <c r="B32" s="639"/>
      <c r="C32" s="346" t="s">
        <v>444</v>
      </c>
      <c r="D32" s="150"/>
      <c r="E32" s="131">
        <v>2639.3</v>
      </c>
      <c r="F32" s="173"/>
      <c r="G32" s="174"/>
      <c r="H32" s="150"/>
      <c r="I32" s="131">
        <v>2639.3</v>
      </c>
      <c r="J32" s="173"/>
      <c r="K32" s="345"/>
      <c r="L32" s="175"/>
      <c r="M32" s="126">
        <v>2237.6</v>
      </c>
      <c r="N32" s="173"/>
      <c r="O32" s="176"/>
      <c r="P32" s="177"/>
      <c r="Q32" s="163">
        <f t="shared" si="0"/>
        <v>0.84780055317697867</v>
      </c>
    </row>
    <row r="33" spans="1:17" s="164" customFormat="1" ht="25.5" customHeight="1" x14ac:dyDescent="0.2">
      <c r="A33" s="149" t="s">
        <v>269</v>
      </c>
      <c r="B33" s="333" t="s">
        <v>308</v>
      </c>
      <c r="C33" s="622" t="s">
        <v>69</v>
      </c>
      <c r="D33" s="150"/>
      <c r="E33" s="131">
        <v>967.2</v>
      </c>
      <c r="F33" s="173"/>
      <c r="G33" s="174"/>
      <c r="H33" s="150"/>
      <c r="I33" s="131">
        <v>967.2</v>
      </c>
      <c r="J33" s="173"/>
      <c r="K33" s="345"/>
      <c r="L33" s="175"/>
      <c r="M33" s="126">
        <v>725.4</v>
      </c>
      <c r="N33" s="173"/>
      <c r="O33" s="176"/>
      <c r="P33" s="177"/>
      <c r="Q33" s="163">
        <f t="shared" si="0"/>
        <v>0.74999999999999989</v>
      </c>
    </row>
    <row r="34" spans="1:17" s="164" customFormat="1" ht="38.25" x14ac:dyDescent="0.2">
      <c r="A34" s="149" t="s">
        <v>270</v>
      </c>
      <c r="B34" s="333" t="s">
        <v>216</v>
      </c>
      <c r="C34" s="622"/>
      <c r="D34" s="150"/>
      <c r="E34" s="131">
        <v>5.2</v>
      </c>
      <c r="F34" s="173"/>
      <c r="G34" s="174"/>
      <c r="H34" s="150"/>
      <c r="I34" s="131">
        <v>5.2</v>
      </c>
      <c r="J34" s="173"/>
      <c r="K34" s="345"/>
      <c r="L34" s="175"/>
      <c r="M34" s="126">
        <v>0</v>
      </c>
      <c r="N34" s="173"/>
      <c r="O34" s="176"/>
      <c r="P34" s="177"/>
      <c r="Q34" s="163">
        <f t="shared" si="0"/>
        <v>0</v>
      </c>
    </row>
    <row r="35" spans="1:17" s="164" customFormat="1" ht="38.25" x14ac:dyDescent="0.2">
      <c r="A35" s="149" t="s">
        <v>271</v>
      </c>
      <c r="B35" s="333" t="s">
        <v>217</v>
      </c>
      <c r="C35" s="622"/>
      <c r="D35" s="150"/>
      <c r="E35" s="131">
        <v>20992</v>
      </c>
      <c r="F35" s="173"/>
      <c r="G35" s="174"/>
      <c r="H35" s="150"/>
      <c r="I35" s="131">
        <v>20992</v>
      </c>
      <c r="J35" s="173"/>
      <c r="K35" s="345"/>
      <c r="L35" s="175"/>
      <c r="M35" s="126">
        <v>14585</v>
      </c>
      <c r="N35" s="173"/>
      <c r="O35" s="176"/>
      <c r="P35" s="177"/>
      <c r="Q35" s="163">
        <f t="shared" si="0"/>
        <v>0.69478849085365857</v>
      </c>
    </row>
    <row r="36" spans="1:17" s="164" customFormat="1" ht="25.5" x14ac:dyDescent="0.2">
      <c r="A36" s="149" t="s">
        <v>272</v>
      </c>
      <c r="B36" s="333" t="s">
        <v>218</v>
      </c>
      <c r="C36" s="622"/>
      <c r="D36" s="150"/>
      <c r="E36" s="131">
        <v>8893.6</v>
      </c>
      <c r="F36" s="173"/>
      <c r="G36" s="174"/>
      <c r="H36" s="150"/>
      <c r="I36" s="131">
        <v>8893.6</v>
      </c>
      <c r="J36" s="173"/>
      <c r="K36" s="345"/>
      <c r="L36" s="175"/>
      <c r="M36" s="126">
        <v>8299.14</v>
      </c>
      <c r="N36" s="173"/>
      <c r="O36" s="176"/>
      <c r="P36" s="177"/>
      <c r="Q36" s="163">
        <f t="shared" si="0"/>
        <v>0.93315867590177193</v>
      </c>
    </row>
    <row r="37" spans="1:17" s="164" customFormat="1" ht="38.25" x14ac:dyDescent="0.2">
      <c r="A37" s="149" t="s">
        <v>273</v>
      </c>
      <c r="B37" s="333" t="s">
        <v>219</v>
      </c>
      <c r="C37" s="622"/>
      <c r="D37" s="150"/>
      <c r="E37" s="131">
        <v>19154.5</v>
      </c>
      <c r="F37" s="173"/>
      <c r="G37" s="174"/>
      <c r="H37" s="150"/>
      <c r="I37" s="131">
        <v>19154.5</v>
      </c>
      <c r="J37" s="173"/>
      <c r="K37" s="345"/>
      <c r="L37" s="175"/>
      <c r="M37" s="126">
        <v>16483.55</v>
      </c>
      <c r="N37" s="173"/>
      <c r="O37" s="176"/>
      <c r="P37" s="177"/>
      <c r="Q37" s="163">
        <f t="shared" si="0"/>
        <v>0.86055757132788635</v>
      </c>
    </row>
    <row r="38" spans="1:17" s="164" customFormat="1" ht="76.5" x14ac:dyDescent="0.2">
      <c r="A38" s="149" t="s">
        <v>274</v>
      </c>
      <c r="B38" s="333" t="s">
        <v>220</v>
      </c>
      <c r="C38" s="622"/>
      <c r="D38" s="150"/>
      <c r="E38" s="131">
        <v>5605.3</v>
      </c>
      <c r="F38" s="173"/>
      <c r="G38" s="174"/>
      <c r="H38" s="150"/>
      <c r="I38" s="131">
        <v>5605.3</v>
      </c>
      <c r="J38" s="173"/>
      <c r="K38" s="345"/>
      <c r="L38" s="175"/>
      <c r="M38" s="126">
        <v>4099.16</v>
      </c>
      <c r="N38" s="173"/>
      <c r="O38" s="176"/>
      <c r="P38" s="177"/>
      <c r="Q38" s="163">
        <f t="shared" si="0"/>
        <v>0.7313007332346172</v>
      </c>
    </row>
    <row r="39" spans="1:17" s="164" customFormat="1" ht="38.25" x14ac:dyDescent="0.2">
      <c r="A39" s="149" t="s">
        <v>275</v>
      </c>
      <c r="B39" s="333" t="s">
        <v>221</v>
      </c>
      <c r="C39" s="622"/>
      <c r="D39" s="150"/>
      <c r="E39" s="131">
        <v>2934.3</v>
      </c>
      <c r="F39" s="173"/>
      <c r="G39" s="174"/>
      <c r="H39" s="150"/>
      <c r="I39" s="131">
        <v>2934.3</v>
      </c>
      <c r="J39" s="173"/>
      <c r="K39" s="345"/>
      <c r="L39" s="175"/>
      <c r="M39" s="126">
        <v>2844.75</v>
      </c>
      <c r="N39" s="173"/>
      <c r="O39" s="176"/>
      <c r="P39" s="177"/>
      <c r="Q39" s="163">
        <f t="shared" si="0"/>
        <v>0.96948164809324189</v>
      </c>
    </row>
    <row r="40" spans="1:17" s="164" customFormat="1" ht="76.5" x14ac:dyDescent="0.2">
      <c r="A40" s="149" t="s">
        <v>276</v>
      </c>
      <c r="B40" s="333" t="s">
        <v>169</v>
      </c>
      <c r="C40" s="622" t="s">
        <v>69</v>
      </c>
      <c r="D40" s="150"/>
      <c r="E40" s="131">
        <v>34898.400000000001</v>
      </c>
      <c r="F40" s="173"/>
      <c r="G40" s="174"/>
      <c r="H40" s="150"/>
      <c r="I40" s="131">
        <v>34898.400000000001</v>
      </c>
      <c r="J40" s="173"/>
      <c r="K40" s="345"/>
      <c r="L40" s="175"/>
      <c r="M40" s="126">
        <v>23143.53</v>
      </c>
      <c r="N40" s="173"/>
      <c r="O40" s="176"/>
      <c r="P40" s="177"/>
      <c r="Q40" s="163">
        <f t="shared" si="0"/>
        <v>0.6631687985695619</v>
      </c>
    </row>
    <row r="41" spans="1:17" s="164" customFormat="1" ht="51" x14ac:dyDescent="0.2">
      <c r="A41" s="149" t="s">
        <v>277</v>
      </c>
      <c r="B41" s="333" t="s">
        <v>222</v>
      </c>
      <c r="C41" s="622"/>
      <c r="D41" s="150"/>
      <c r="E41" s="131">
        <v>5000</v>
      </c>
      <c r="F41" s="173"/>
      <c r="G41" s="174"/>
      <c r="H41" s="150"/>
      <c r="I41" s="131">
        <v>5000</v>
      </c>
      <c r="J41" s="173"/>
      <c r="K41" s="345"/>
      <c r="L41" s="175"/>
      <c r="M41" s="126">
        <v>4886.91</v>
      </c>
      <c r="N41" s="173"/>
      <c r="O41" s="176"/>
      <c r="P41" s="177"/>
      <c r="Q41" s="163">
        <f t="shared" si="0"/>
        <v>0.97738199999999997</v>
      </c>
    </row>
    <row r="42" spans="1:17" s="164" customFormat="1" ht="51" customHeight="1" x14ac:dyDescent="0.2">
      <c r="A42" s="149" t="s">
        <v>278</v>
      </c>
      <c r="B42" s="333" t="s">
        <v>223</v>
      </c>
      <c r="C42" s="622"/>
      <c r="D42" s="150"/>
      <c r="E42" s="131">
        <v>58190</v>
      </c>
      <c r="F42" s="173"/>
      <c r="G42" s="174"/>
      <c r="H42" s="150"/>
      <c r="I42" s="131">
        <v>58190</v>
      </c>
      <c r="J42" s="173"/>
      <c r="K42" s="345"/>
      <c r="L42" s="175"/>
      <c r="M42" s="126">
        <v>57716.800000000003</v>
      </c>
      <c r="N42" s="173"/>
      <c r="O42" s="176"/>
      <c r="P42" s="177"/>
      <c r="Q42" s="163">
        <f t="shared" si="0"/>
        <v>0.99186801855989004</v>
      </c>
    </row>
    <row r="43" spans="1:17" s="164" customFormat="1" ht="25.5" x14ac:dyDescent="0.2">
      <c r="A43" s="149" t="s">
        <v>279</v>
      </c>
      <c r="B43" s="333" t="s">
        <v>224</v>
      </c>
      <c r="C43" s="622"/>
      <c r="D43" s="150"/>
      <c r="E43" s="131">
        <v>179.3</v>
      </c>
      <c r="F43" s="173"/>
      <c r="G43" s="174"/>
      <c r="H43" s="150"/>
      <c r="I43" s="131">
        <v>179.3</v>
      </c>
      <c r="J43" s="173"/>
      <c r="K43" s="345"/>
      <c r="L43" s="175"/>
      <c r="M43" s="126">
        <v>27</v>
      </c>
      <c r="N43" s="173"/>
      <c r="O43" s="176"/>
      <c r="P43" s="177"/>
      <c r="Q43" s="163">
        <f t="shared" si="0"/>
        <v>0.15058561070831009</v>
      </c>
    </row>
    <row r="44" spans="1:17" ht="127.5" x14ac:dyDescent="0.25">
      <c r="A44" s="149" t="s">
        <v>280</v>
      </c>
      <c r="B44" s="333" t="s">
        <v>225</v>
      </c>
      <c r="C44" s="622"/>
      <c r="D44" s="150"/>
      <c r="E44" s="131">
        <v>36.5</v>
      </c>
      <c r="F44" s="173"/>
      <c r="G44" s="174"/>
      <c r="H44" s="150"/>
      <c r="I44" s="131">
        <v>36.5</v>
      </c>
      <c r="J44" s="173"/>
      <c r="K44" s="345"/>
      <c r="L44" s="175"/>
      <c r="M44" s="126">
        <v>17.48</v>
      </c>
      <c r="N44" s="173"/>
      <c r="O44" s="176"/>
      <c r="P44" s="177"/>
      <c r="Q44" s="163">
        <f t="shared" si="0"/>
        <v>0.47890410958904112</v>
      </c>
    </row>
    <row r="45" spans="1:17" ht="25.5" x14ac:dyDescent="0.25">
      <c r="A45" s="149" t="s">
        <v>281</v>
      </c>
      <c r="B45" s="333" t="s">
        <v>226</v>
      </c>
      <c r="C45" s="622"/>
      <c r="D45" s="150"/>
      <c r="E45" s="131">
        <v>1979.5</v>
      </c>
      <c r="F45" s="173"/>
      <c r="G45" s="174"/>
      <c r="H45" s="150"/>
      <c r="I45" s="131">
        <v>1979.5</v>
      </c>
      <c r="J45" s="173"/>
      <c r="K45" s="345"/>
      <c r="L45" s="175"/>
      <c r="M45" s="126">
        <v>1114.3900000000001</v>
      </c>
      <c r="N45" s="173"/>
      <c r="O45" s="176"/>
      <c r="P45" s="177"/>
      <c r="Q45" s="163">
        <f t="shared" si="0"/>
        <v>0.56296539530184397</v>
      </c>
    </row>
    <row r="46" spans="1:17" ht="51" x14ac:dyDescent="0.25">
      <c r="A46" s="149" t="s">
        <v>282</v>
      </c>
      <c r="B46" s="333" t="s">
        <v>170</v>
      </c>
      <c r="C46" s="622"/>
      <c r="D46" s="150"/>
      <c r="E46" s="131">
        <v>13939</v>
      </c>
      <c r="F46" s="173"/>
      <c r="G46" s="174"/>
      <c r="H46" s="150"/>
      <c r="I46" s="131">
        <v>13939</v>
      </c>
      <c r="J46" s="173"/>
      <c r="K46" s="345"/>
      <c r="L46" s="175"/>
      <c r="M46" s="126">
        <v>13939</v>
      </c>
      <c r="N46" s="173"/>
      <c r="O46" s="176"/>
      <c r="P46" s="177"/>
      <c r="Q46" s="163">
        <f t="shared" si="0"/>
        <v>1</v>
      </c>
    </row>
    <row r="47" spans="1:17" ht="102" x14ac:dyDescent="0.25">
      <c r="A47" s="149" t="s">
        <v>309</v>
      </c>
      <c r="B47" s="333" t="s">
        <v>310</v>
      </c>
      <c r="C47" s="622"/>
      <c r="D47" s="150"/>
      <c r="E47" s="131">
        <v>80.3</v>
      </c>
      <c r="F47" s="173"/>
      <c r="G47" s="174"/>
      <c r="H47" s="150"/>
      <c r="I47" s="131">
        <v>80.3</v>
      </c>
      <c r="J47" s="173"/>
      <c r="K47" s="345"/>
      <c r="L47" s="175"/>
      <c r="M47" s="126">
        <v>39.9</v>
      </c>
      <c r="N47" s="173"/>
      <c r="O47" s="176"/>
      <c r="P47" s="177"/>
      <c r="Q47" s="163">
        <f t="shared" si="0"/>
        <v>0.49688667496886674</v>
      </c>
    </row>
    <row r="48" spans="1:17" ht="63.75" x14ac:dyDescent="0.25">
      <c r="A48" s="149" t="s">
        <v>311</v>
      </c>
      <c r="B48" s="333" t="s">
        <v>312</v>
      </c>
      <c r="C48" s="622"/>
      <c r="D48" s="150"/>
      <c r="E48" s="131">
        <v>914.6</v>
      </c>
      <c r="F48" s="173"/>
      <c r="G48" s="174"/>
      <c r="H48" s="150"/>
      <c r="I48" s="131">
        <v>914.6</v>
      </c>
      <c r="J48" s="173"/>
      <c r="K48" s="345"/>
      <c r="L48" s="175"/>
      <c r="M48" s="126">
        <v>601.86</v>
      </c>
      <c r="N48" s="173"/>
      <c r="O48" s="176"/>
      <c r="P48" s="177"/>
      <c r="Q48" s="163">
        <f t="shared" si="0"/>
        <v>0.65805816750492019</v>
      </c>
    </row>
    <row r="49" spans="1:24" ht="38.25" x14ac:dyDescent="0.25">
      <c r="A49" s="149" t="s">
        <v>313</v>
      </c>
      <c r="B49" s="333" t="s">
        <v>227</v>
      </c>
      <c r="C49" s="622"/>
      <c r="D49" s="150"/>
      <c r="E49" s="131">
        <v>7363.9</v>
      </c>
      <c r="F49" s="173"/>
      <c r="G49" s="174"/>
      <c r="H49" s="150"/>
      <c r="I49" s="131">
        <v>7363.9</v>
      </c>
      <c r="J49" s="173"/>
      <c r="K49" s="345"/>
      <c r="L49" s="175"/>
      <c r="M49" s="126">
        <v>4400.47</v>
      </c>
      <c r="N49" s="173"/>
      <c r="O49" s="176"/>
      <c r="P49" s="177"/>
      <c r="Q49" s="163">
        <f t="shared" si="0"/>
        <v>0.59757329675851123</v>
      </c>
    </row>
    <row r="50" spans="1:24" ht="89.25" customHeight="1" x14ac:dyDescent="0.25">
      <c r="A50" s="149" t="s">
        <v>314</v>
      </c>
      <c r="B50" s="333" t="s">
        <v>315</v>
      </c>
      <c r="C50" s="622"/>
      <c r="D50" s="150"/>
      <c r="E50" s="131">
        <v>1100</v>
      </c>
      <c r="F50" s="173"/>
      <c r="G50" s="174"/>
      <c r="H50" s="150"/>
      <c r="I50" s="131">
        <v>1100</v>
      </c>
      <c r="J50" s="173"/>
      <c r="K50" s="345"/>
      <c r="L50" s="175"/>
      <c r="M50" s="126">
        <v>0</v>
      </c>
      <c r="N50" s="173"/>
      <c r="O50" s="176"/>
      <c r="P50" s="177"/>
      <c r="Q50" s="163">
        <f t="shared" si="0"/>
        <v>0</v>
      </c>
    </row>
    <row r="51" spans="1:24" ht="114.75" x14ac:dyDescent="0.25">
      <c r="A51" s="149" t="s">
        <v>316</v>
      </c>
      <c r="B51" s="333" t="s">
        <v>317</v>
      </c>
      <c r="C51" s="622" t="s">
        <v>69</v>
      </c>
      <c r="D51" s="347">
        <v>34930.1</v>
      </c>
      <c r="E51" s="131">
        <v>0</v>
      </c>
      <c r="F51" s="143"/>
      <c r="G51" s="151"/>
      <c r="H51" s="347">
        <v>34930.1</v>
      </c>
      <c r="I51" s="131">
        <v>0</v>
      </c>
      <c r="J51" s="143"/>
      <c r="K51" s="152"/>
      <c r="L51" s="150">
        <v>18480.96</v>
      </c>
      <c r="M51" s="126"/>
      <c r="N51" s="143"/>
      <c r="O51" s="348"/>
      <c r="P51" s="178" t="s">
        <v>478</v>
      </c>
      <c r="Q51" s="153">
        <f>L51/D51</f>
        <v>0.52908408507275961</v>
      </c>
    </row>
    <row r="52" spans="1:24" ht="90" x14ac:dyDescent="0.25">
      <c r="A52" s="149" t="s">
        <v>318</v>
      </c>
      <c r="B52" s="333" t="s">
        <v>319</v>
      </c>
      <c r="C52" s="622"/>
      <c r="D52" s="150">
        <v>116515.7</v>
      </c>
      <c r="E52" s="131">
        <v>0</v>
      </c>
      <c r="F52" s="143"/>
      <c r="G52" s="151"/>
      <c r="H52" s="150">
        <v>116515.7</v>
      </c>
      <c r="I52" s="131">
        <v>0</v>
      </c>
      <c r="J52" s="143"/>
      <c r="K52" s="152"/>
      <c r="L52" s="150">
        <v>102725.36795</v>
      </c>
      <c r="M52" s="126"/>
      <c r="N52" s="143"/>
      <c r="O52" s="348"/>
      <c r="P52" s="178" t="s">
        <v>478</v>
      </c>
      <c r="Q52" s="153">
        <f>L52/D52</f>
        <v>0.88164400119468878</v>
      </c>
    </row>
    <row r="53" spans="1:24" ht="90" x14ac:dyDescent="0.25">
      <c r="A53" s="149" t="s">
        <v>320</v>
      </c>
      <c r="B53" s="333" t="s">
        <v>228</v>
      </c>
      <c r="C53" s="622"/>
      <c r="D53" s="150">
        <v>317.39999999999998</v>
      </c>
      <c r="E53" s="131">
        <v>0</v>
      </c>
      <c r="F53" s="143"/>
      <c r="G53" s="151"/>
      <c r="H53" s="150">
        <v>317.39999999999998</v>
      </c>
      <c r="I53" s="131">
        <v>0</v>
      </c>
      <c r="J53" s="143"/>
      <c r="K53" s="152"/>
      <c r="L53" s="150">
        <v>124.70672999999999</v>
      </c>
      <c r="M53" s="126"/>
      <c r="N53" s="143"/>
      <c r="O53" s="348"/>
      <c r="P53" s="178" t="s">
        <v>478</v>
      </c>
      <c r="Q53" s="153">
        <f>L53/D53</f>
        <v>0.39290085066162572</v>
      </c>
    </row>
    <row r="54" spans="1:24" ht="90" x14ac:dyDescent="0.25">
      <c r="A54" s="149" t="s">
        <v>321</v>
      </c>
      <c r="B54" s="333" t="s">
        <v>229</v>
      </c>
      <c r="C54" s="622"/>
      <c r="D54" s="347">
        <v>820000</v>
      </c>
      <c r="E54" s="131">
        <v>0</v>
      </c>
      <c r="F54" s="143"/>
      <c r="G54" s="151"/>
      <c r="H54" s="347">
        <v>820000</v>
      </c>
      <c r="I54" s="131">
        <v>0</v>
      </c>
      <c r="J54" s="143"/>
      <c r="K54" s="152"/>
      <c r="L54" s="150">
        <v>564843.40266999998</v>
      </c>
      <c r="M54" s="126"/>
      <c r="N54" s="143"/>
      <c r="O54" s="348"/>
      <c r="P54" s="178" t="s">
        <v>478</v>
      </c>
      <c r="Q54" s="153">
        <f>L54/D54</f>
        <v>0.68883341789024388</v>
      </c>
    </row>
    <row r="55" spans="1:24" ht="90" x14ac:dyDescent="0.25">
      <c r="A55" s="149" t="s">
        <v>322</v>
      </c>
      <c r="B55" s="333" t="s">
        <v>230</v>
      </c>
      <c r="C55" s="622"/>
      <c r="D55" s="347">
        <v>993.4</v>
      </c>
      <c r="E55" s="131">
        <v>0</v>
      </c>
      <c r="F55" s="143"/>
      <c r="G55" s="151"/>
      <c r="H55" s="347">
        <v>993.4</v>
      </c>
      <c r="I55" s="131">
        <v>0</v>
      </c>
      <c r="J55" s="143"/>
      <c r="K55" s="152"/>
      <c r="L55" s="150">
        <v>44.202570000000001</v>
      </c>
      <c r="M55" s="126"/>
      <c r="N55" s="143"/>
      <c r="O55" s="348"/>
      <c r="P55" s="178" t="s">
        <v>478</v>
      </c>
      <c r="Q55" s="153">
        <f>L55/D55</f>
        <v>4.449624521844172E-2</v>
      </c>
    </row>
    <row r="56" spans="1:24" ht="102" x14ac:dyDescent="0.25">
      <c r="A56" s="149" t="s">
        <v>323</v>
      </c>
      <c r="B56" s="333" t="s">
        <v>231</v>
      </c>
      <c r="C56" s="622"/>
      <c r="D56" s="150"/>
      <c r="E56" s="131">
        <v>549383.4</v>
      </c>
      <c r="F56" s="143"/>
      <c r="G56" s="151"/>
      <c r="H56" s="150"/>
      <c r="I56" s="131">
        <v>549383.4</v>
      </c>
      <c r="J56" s="143"/>
      <c r="K56" s="152"/>
      <c r="L56" s="150"/>
      <c r="M56" s="126">
        <v>392580.815</v>
      </c>
      <c r="N56" s="143"/>
      <c r="O56" s="348"/>
      <c r="P56" s="349"/>
      <c r="Q56" s="153">
        <f t="shared" si="0"/>
        <v>0.71458441409041484</v>
      </c>
    </row>
    <row r="57" spans="1:24" ht="102" customHeight="1" x14ac:dyDescent="0.25">
      <c r="A57" s="350" t="s">
        <v>324</v>
      </c>
      <c r="B57" s="179" t="s">
        <v>325</v>
      </c>
      <c r="C57" s="622"/>
      <c r="D57" s="180"/>
      <c r="E57" s="181">
        <v>243574.1</v>
      </c>
      <c r="F57" s="144"/>
      <c r="G57" s="182"/>
      <c r="H57" s="180"/>
      <c r="I57" s="181">
        <v>243574.1</v>
      </c>
      <c r="J57" s="144"/>
      <c r="K57" s="183"/>
      <c r="L57" s="180"/>
      <c r="M57" s="128">
        <v>173341.75</v>
      </c>
      <c r="N57" s="144"/>
      <c r="O57" s="184"/>
      <c r="P57" s="185"/>
      <c r="Q57" s="153">
        <f t="shared" si="0"/>
        <v>0.71165920350316392</v>
      </c>
    </row>
    <row r="58" spans="1:24" ht="114.75" x14ac:dyDescent="0.25">
      <c r="A58" s="149" t="s">
        <v>474</v>
      </c>
      <c r="B58" s="333" t="s">
        <v>475</v>
      </c>
      <c r="C58" s="351" t="s">
        <v>69</v>
      </c>
      <c r="D58" s="352"/>
      <c r="E58" s="131">
        <v>10000</v>
      </c>
      <c r="F58" s="143"/>
      <c r="G58" s="151"/>
      <c r="H58" s="352"/>
      <c r="I58" s="131">
        <v>10000</v>
      </c>
      <c r="J58" s="143"/>
      <c r="K58" s="151"/>
      <c r="L58" s="352"/>
      <c r="M58" s="126">
        <v>0</v>
      </c>
      <c r="N58" s="143"/>
      <c r="O58" s="348"/>
      <c r="P58" s="349"/>
      <c r="Q58" s="153">
        <f t="shared" si="0"/>
        <v>0</v>
      </c>
    </row>
    <row r="59" spans="1:24" ht="104.25" customHeight="1" x14ac:dyDescent="0.25">
      <c r="A59" s="353" t="s">
        <v>11</v>
      </c>
      <c r="B59" s="354" t="s">
        <v>12</v>
      </c>
      <c r="C59" s="355" t="s">
        <v>13</v>
      </c>
      <c r="D59" s="356">
        <v>50000</v>
      </c>
      <c r="E59" s="326">
        <v>50000</v>
      </c>
      <c r="F59" s="142"/>
      <c r="G59" s="186"/>
      <c r="H59" s="357"/>
      <c r="I59" s="326">
        <v>50000</v>
      </c>
      <c r="J59" s="142"/>
      <c r="K59" s="186"/>
      <c r="L59" s="357"/>
      <c r="M59" s="330"/>
      <c r="N59" s="142"/>
      <c r="O59" s="358"/>
      <c r="P59" s="359"/>
      <c r="Q59" s="153"/>
    </row>
    <row r="60" spans="1:24" s="156" customFormat="1" ht="173.25" customHeight="1" thickBot="1" x14ac:dyDescent="0.3">
      <c r="A60" s="360" t="s">
        <v>15</v>
      </c>
      <c r="B60" s="361" t="s">
        <v>14</v>
      </c>
      <c r="C60" s="362" t="s">
        <v>69</v>
      </c>
      <c r="D60" s="363">
        <v>2043.1</v>
      </c>
      <c r="E60" s="364">
        <v>2043.1</v>
      </c>
      <c r="F60" s="365"/>
      <c r="G60" s="366"/>
      <c r="H60" s="363">
        <v>2043.1</v>
      </c>
      <c r="I60" s="364">
        <v>2043.1</v>
      </c>
      <c r="J60" s="365"/>
      <c r="K60" s="366"/>
      <c r="L60" s="363"/>
      <c r="M60" s="367">
        <v>1526.7</v>
      </c>
      <c r="N60" s="365"/>
      <c r="O60" s="368"/>
      <c r="P60" s="369"/>
      <c r="Q60" s="370"/>
    </row>
    <row r="61" spans="1:24" s="194" customFormat="1" ht="15.75" thickBot="1" x14ac:dyDescent="0.3">
      <c r="A61" s="187"/>
      <c r="B61" s="188" t="s">
        <v>166</v>
      </c>
      <c r="C61" s="189"/>
      <c r="D61" s="371">
        <f>D9+D10+D11+D14+D15+D56+D57+D58+D59+D60</f>
        <v>1024799.7</v>
      </c>
      <c r="E61" s="371">
        <f>E9+E10+E11+E14+E15+E56+E57+E58+E59+E60</f>
        <v>4376248.799999998</v>
      </c>
      <c r="F61" s="190"/>
      <c r="G61" s="191"/>
      <c r="H61" s="371">
        <f>H9+H10+H11+H14+H15+H56+H57+H58+H59+H60</f>
        <v>974799.7</v>
      </c>
      <c r="I61" s="371">
        <f>I9+I10+I11+I14+I15+I56+I57+I58+I59+I60</f>
        <v>4376248.799999998</v>
      </c>
      <c r="J61" s="190"/>
      <c r="K61" s="191"/>
      <c r="L61" s="371">
        <f>L9+L10+L11+L14+L15+L56+L57+L58+L59+L60</f>
        <v>686218.63991999999</v>
      </c>
      <c r="M61" s="371">
        <f>M9+M10+M11+M14+M15+M56+M57+M58+M59+M60</f>
        <v>3891387.3870000001</v>
      </c>
      <c r="N61" s="190"/>
      <c r="O61" s="192"/>
      <c r="P61" s="193"/>
      <c r="Q61" s="163">
        <f>L61/D61</f>
        <v>0.66961245199427755</v>
      </c>
      <c r="R61" s="153">
        <f>M61/E61</f>
        <v>0.88920615916535684</v>
      </c>
      <c r="S61" s="314">
        <f>I61-I59-I32</f>
        <v>4323609.4999999981</v>
      </c>
      <c r="T61" s="195">
        <f>S61-4325652.6</f>
        <v>-2043.1000000014901</v>
      </c>
      <c r="U61" s="314">
        <f>H61-972756.6</f>
        <v>2043.0999999999767</v>
      </c>
      <c r="V61" s="314"/>
      <c r="W61" s="314"/>
      <c r="X61" s="314"/>
    </row>
    <row r="62" spans="1:24" ht="19.5" thickBot="1" x14ac:dyDescent="0.35">
      <c r="A62" s="614" t="s">
        <v>171</v>
      </c>
      <c r="B62" s="615"/>
      <c r="C62" s="615"/>
      <c r="D62" s="615"/>
      <c r="E62" s="615"/>
      <c r="F62" s="615"/>
      <c r="G62" s="615"/>
      <c r="H62" s="615"/>
      <c r="I62" s="615"/>
      <c r="J62" s="615"/>
      <c r="K62" s="615"/>
      <c r="L62" s="615"/>
      <c r="M62" s="615"/>
      <c r="N62" s="615"/>
      <c r="O62" s="615"/>
      <c r="P62" s="616"/>
      <c r="Q62" s="163"/>
    </row>
    <row r="63" spans="1:24" ht="38.25" customHeight="1" x14ac:dyDescent="0.25">
      <c r="A63" s="323" t="s">
        <v>326</v>
      </c>
      <c r="B63" s="324" t="s">
        <v>232</v>
      </c>
      <c r="C63" s="623" t="s">
        <v>69</v>
      </c>
      <c r="D63" s="196"/>
      <c r="E63" s="326">
        <v>188046.2</v>
      </c>
      <c r="F63" s="372"/>
      <c r="G63" s="373"/>
      <c r="H63" s="196"/>
      <c r="I63" s="326">
        <v>188046.2</v>
      </c>
      <c r="J63" s="372"/>
      <c r="K63" s="374"/>
      <c r="L63" s="375"/>
      <c r="M63" s="330">
        <v>159096.05600000001</v>
      </c>
      <c r="N63" s="197"/>
      <c r="O63" s="198"/>
      <c r="P63" s="199"/>
      <c r="Q63" s="163">
        <f t="shared" si="0"/>
        <v>0.84604770529795337</v>
      </c>
    </row>
    <row r="64" spans="1:24" ht="76.5" x14ac:dyDescent="0.25">
      <c r="A64" s="149" t="s">
        <v>327</v>
      </c>
      <c r="B64" s="333" t="s">
        <v>233</v>
      </c>
      <c r="C64" s="622"/>
      <c r="D64" s="150"/>
      <c r="E64" s="131">
        <v>6500</v>
      </c>
      <c r="F64" s="173"/>
      <c r="G64" s="174"/>
      <c r="H64" s="150"/>
      <c r="I64" s="131">
        <v>6500</v>
      </c>
      <c r="J64" s="173"/>
      <c r="K64" s="345"/>
      <c r="L64" s="175"/>
      <c r="M64" s="126">
        <v>2700</v>
      </c>
      <c r="N64" s="200"/>
      <c r="O64" s="176"/>
      <c r="P64" s="177"/>
      <c r="Q64" s="163">
        <f t="shared" si="0"/>
        <v>0.41538461538461541</v>
      </c>
    </row>
    <row r="65" spans="1:17" ht="76.5" x14ac:dyDescent="0.25">
      <c r="A65" s="149" t="s">
        <v>328</v>
      </c>
      <c r="B65" s="333" t="s">
        <v>329</v>
      </c>
      <c r="C65" s="622"/>
      <c r="D65" s="150"/>
      <c r="E65" s="131">
        <v>3048.4</v>
      </c>
      <c r="F65" s="173"/>
      <c r="G65" s="174"/>
      <c r="H65" s="150"/>
      <c r="I65" s="131">
        <v>3048.4</v>
      </c>
      <c r="J65" s="173"/>
      <c r="K65" s="345"/>
      <c r="L65" s="175"/>
      <c r="M65" s="126">
        <v>1288.6300000000001</v>
      </c>
      <c r="N65" s="200"/>
      <c r="O65" s="176"/>
      <c r="P65" s="177"/>
      <c r="Q65" s="163">
        <f t="shared" si="0"/>
        <v>0.42272339587980584</v>
      </c>
    </row>
    <row r="66" spans="1:17" ht="89.25" x14ac:dyDescent="0.25">
      <c r="A66" s="149" t="s">
        <v>330</v>
      </c>
      <c r="B66" s="333" t="s">
        <v>234</v>
      </c>
      <c r="C66" s="622"/>
      <c r="D66" s="150"/>
      <c r="E66" s="131">
        <v>3945.6</v>
      </c>
      <c r="F66" s="173"/>
      <c r="G66" s="174"/>
      <c r="H66" s="150"/>
      <c r="I66" s="131">
        <v>3945.6</v>
      </c>
      <c r="J66" s="173"/>
      <c r="K66" s="345"/>
      <c r="L66" s="175"/>
      <c r="M66" s="126">
        <v>1481.68</v>
      </c>
      <c r="N66" s="200"/>
      <c r="O66" s="176"/>
      <c r="P66" s="177"/>
      <c r="Q66" s="163">
        <f t="shared" si="0"/>
        <v>0.37552716950527171</v>
      </c>
    </row>
    <row r="67" spans="1:17" ht="178.5" x14ac:dyDescent="0.25">
      <c r="A67" s="149" t="s">
        <v>331</v>
      </c>
      <c r="B67" s="333" t="s">
        <v>332</v>
      </c>
      <c r="C67" s="622"/>
      <c r="D67" s="150"/>
      <c r="E67" s="131">
        <v>10743</v>
      </c>
      <c r="F67" s="173"/>
      <c r="G67" s="174"/>
      <c r="H67" s="150"/>
      <c r="I67" s="131">
        <v>10743</v>
      </c>
      <c r="J67" s="173"/>
      <c r="K67" s="345"/>
      <c r="L67" s="175"/>
      <c r="M67" s="126">
        <v>10138.32</v>
      </c>
      <c r="N67" s="200"/>
      <c r="O67" s="176"/>
      <c r="P67" s="177"/>
      <c r="Q67" s="163">
        <f t="shared" si="0"/>
        <v>0.9437140463557665</v>
      </c>
    </row>
    <row r="68" spans="1:17" ht="63.75" customHeight="1" x14ac:dyDescent="0.25">
      <c r="A68" s="149" t="s">
        <v>333</v>
      </c>
      <c r="B68" s="333" t="s">
        <v>235</v>
      </c>
      <c r="C68" s="622"/>
      <c r="D68" s="150"/>
      <c r="E68" s="131">
        <v>427045</v>
      </c>
      <c r="F68" s="173"/>
      <c r="G68" s="174"/>
      <c r="H68" s="150"/>
      <c r="I68" s="131">
        <v>427045</v>
      </c>
      <c r="J68" s="173"/>
      <c r="K68" s="345"/>
      <c r="L68" s="175"/>
      <c r="M68" s="126">
        <v>425151.45</v>
      </c>
      <c r="N68" s="200"/>
      <c r="O68" s="176"/>
      <c r="P68" s="177"/>
      <c r="Q68" s="163">
        <f t="shared" si="0"/>
        <v>0.99556592396585841</v>
      </c>
    </row>
    <row r="69" spans="1:17" ht="38.25" x14ac:dyDescent="0.25">
      <c r="A69" s="149" t="s">
        <v>334</v>
      </c>
      <c r="B69" s="333" t="s">
        <v>236</v>
      </c>
      <c r="C69" s="622"/>
      <c r="D69" s="150"/>
      <c r="E69" s="131">
        <v>14435.4</v>
      </c>
      <c r="F69" s="173"/>
      <c r="G69" s="174"/>
      <c r="H69" s="150"/>
      <c r="I69" s="131">
        <v>14435.4</v>
      </c>
      <c r="J69" s="173"/>
      <c r="K69" s="345"/>
      <c r="L69" s="175"/>
      <c r="M69" s="126">
        <v>13828.097</v>
      </c>
      <c r="N69" s="200"/>
      <c r="O69" s="176"/>
      <c r="P69" s="177"/>
      <c r="Q69" s="163">
        <f t="shared" si="0"/>
        <v>0.95792960361333945</v>
      </c>
    </row>
    <row r="70" spans="1:17" ht="102" customHeight="1" x14ac:dyDescent="0.25">
      <c r="A70" s="149" t="s">
        <v>335</v>
      </c>
      <c r="B70" s="333" t="s">
        <v>336</v>
      </c>
      <c r="C70" s="622" t="s">
        <v>69</v>
      </c>
      <c r="D70" s="150"/>
      <c r="E70" s="131">
        <v>151</v>
      </c>
      <c r="F70" s="173"/>
      <c r="G70" s="174"/>
      <c r="H70" s="150"/>
      <c r="I70" s="131">
        <v>151</v>
      </c>
      <c r="J70" s="173"/>
      <c r="K70" s="345"/>
      <c r="L70" s="175"/>
      <c r="M70" s="126">
        <v>0</v>
      </c>
      <c r="N70" s="200"/>
      <c r="O70" s="176"/>
      <c r="P70" s="177"/>
      <c r="Q70" s="163">
        <f t="shared" si="0"/>
        <v>0</v>
      </c>
    </row>
    <row r="71" spans="1:17" ht="127.5" x14ac:dyDescent="0.25">
      <c r="A71" s="149" t="s">
        <v>337</v>
      </c>
      <c r="B71" s="333" t="s">
        <v>338</v>
      </c>
      <c r="C71" s="622"/>
      <c r="D71" s="150"/>
      <c r="E71" s="131">
        <v>490</v>
      </c>
      <c r="F71" s="173"/>
      <c r="G71" s="174"/>
      <c r="H71" s="150"/>
      <c r="I71" s="131">
        <v>490</v>
      </c>
      <c r="J71" s="173"/>
      <c r="K71" s="345"/>
      <c r="L71" s="175"/>
      <c r="M71" s="126">
        <v>333.65</v>
      </c>
      <c r="N71" s="200"/>
      <c r="O71" s="176"/>
      <c r="P71" s="177"/>
      <c r="Q71" s="163">
        <f t="shared" si="0"/>
        <v>0.68091836734693878</v>
      </c>
    </row>
    <row r="72" spans="1:17" ht="38.25" x14ac:dyDescent="0.25">
      <c r="A72" s="168" t="s">
        <v>339</v>
      </c>
      <c r="B72" s="169" t="s">
        <v>194</v>
      </c>
      <c r="C72" s="622"/>
      <c r="D72" s="201">
        <f>SUM(D73:D85)</f>
        <v>636827.5</v>
      </c>
      <c r="E72" s="129">
        <f>SUM(E73:E85)</f>
        <v>726291.4</v>
      </c>
      <c r="F72" s="202"/>
      <c r="G72" s="203"/>
      <c r="H72" s="201">
        <f>SUM(H73:H85)</f>
        <v>636827.5</v>
      </c>
      <c r="I72" s="129">
        <f>SUM(I73:I85)</f>
        <v>726291.4</v>
      </c>
      <c r="J72" s="202"/>
      <c r="K72" s="204"/>
      <c r="L72" s="201">
        <f>SUM(L73:L85)</f>
        <v>526562.1</v>
      </c>
      <c r="M72" s="129">
        <f>SUM(M73:M85)</f>
        <v>603086.41099999996</v>
      </c>
      <c r="N72" s="205"/>
      <c r="O72" s="206"/>
      <c r="P72" s="207"/>
      <c r="Q72" s="163">
        <f t="shared" si="0"/>
        <v>0.8303642463617219</v>
      </c>
    </row>
    <row r="73" spans="1:17" ht="25.5" x14ac:dyDescent="0.25">
      <c r="A73" s="149" t="s">
        <v>340</v>
      </c>
      <c r="B73" s="333" t="s">
        <v>237</v>
      </c>
      <c r="C73" s="622"/>
      <c r="D73" s="150"/>
      <c r="E73" s="131">
        <v>164655.29999999999</v>
      </c>
      <c r="F73" s="173"/>
      <c r="G73" s="174"/>
      <c r="H73" s="150"/>
      <c r="I73" s="131">
        <v>164655.29999999999</v>
      </c>
      <c r="J73" s="173"/>
      <c r="K73" s="345"/>
      <c r="L73" s="175"/>
      <c r="M73" s="126">
        <v>158890.04999999999</v>
      </c>
      <c r="N73" s="200"/>
      <c r="O73" s="176"/>
      <c r="P73" s="177"/>
      <c r="Q73" s="163">
        <f t="shared" si="0"/>
        <v>0.96498594336167742</v>
      </c>
    </row>
    <row r="74" spans="1:17" ht="127.5" x14ac:dyDescent="0.25">
      <c r="A74" s="149" t="s">
        <v>341</v>
      </c>
      <c r="B74" s="333" t="s">
        <v>238</v>
      </c>
      <c r="C74" s="622"/>
      <c r="D74" s="150"/>
      <c r="E74" s="131">
        <v>661.7</v>
      </c>
      <c r="F74" s="143"/>
      <c r="G74" s="151"/>
      <c r="H74" s="150"/>
      <c r="I74" s="131">
        <v>661.7</v>
      </c>
      <c r="J74" s="143"/>
      <c r="K74" s="152"/>
      <c r="L74" s="150"/>
      <c r="M74" s="126">
        <v>519.44299999999998</v>
      </c>
      <c r="N74" s="376"/>
      <c r="O74" s="348"/>
      <c r="P74" s="349"/>
      <c r="Q74" s="163">
        <f t="shared" si="0"/>
        <v>0.78501284570046836</v>
      </c>
    </row>
    <row r="75" spans="1:17" ht="25.5" x14ac:dyDescent="0.25">
      <c r="A75" s="149" t="s">
        <v>342</v>
      </c>
      <c r="B75" s="333" t="s">
        <v>239</v>
      </c>
      <c r="C75" s="622"/>
      <c r="D75" s="150"/>
      <c r="E75" s="131">
        <v>76440.600000000006</v>
      </c>
      <c r="F75" s="143"/>
      <c r="G75" s="151"/>
      <c r="H75" s="150"/>
      <c r="I75" s="131">
        <v>76440.600000000006</v>
      </c>
      <c r="J75" s="143"/>
      <c r="K75" s="152"/>
      <c r="L75" s="150"/>
      <c r="M75" s="126">
        <v>37204.44</v>
      </c>
      <c r="N75" s="376"/>
      <c r="O75" s="348"/>
      <c r="P75" s="349"/>
      <c r="Q75" s="163">
        <f t="shared" si="0"/>
        <v>0.48671046538096246</v>
      </c>
    </row>
    <row r="76" spans="1:17" ht="38.25" x14ac:dyDescent="0.25">
      <c r="A76" s="149" t="s">
        <v>343</v>
      </c>
      <c r="B76" s="333" t="s">
        <v>240</v>
      </c>
      <c r="C76" s="622"/>
      <c r="D76" s="150"/>
      <c r="E76" s="131">
        <v>253.8</v>
      </c>
      <c r="F76" s="143"/>
      <c r="G76" s="151"/>
      <c r="H76" s="150"/>
      <c r="I76" s="131">
        <v>253.8</v>
      </c>
      <c r="J76" s="143"/>
      <c r="K76" s="152"/>
      <c r="L76" s="150"/>
      <c r="M76" s="126">
        <v>0</v>
      </c>
      <c r="N76" s="376"/>
      <c r="O76" s="348"/>
      <c r="P76" s="349"/>
      <c r="Q76" s="163">
        <f t="shared" ref="Q76:Q140" si="1">M76/E76</f>
        <v>0</v>
      </c>
    </row>
    <row r="77" spans="1:17" ht="56.25" x14ac:dyDescent="0.25">
      <c r="A77" s="149" t="s">
        <v>344</v>
      </c>
      <c r="B77" s="333" t="s">
        <v>345</v>
      </c>
      <c r="C77" s="622"/>
      <c r="D77" s="150">
        <v>176770.4</v>
      </c>
      <c r="E77" s="131">
        <v>159833.1</v>
      </c>
      <c r="F77" s="143"/>
      <c r="G77" s="151"/>
      <c r="H77" s="150">
        <v>176770.4</v>
      </c>
      <c r="I77" s="131">
        <v>159833.1</v>
      </c>
      <c r="J77" s="143"/>
      <c r="K77" s="152"/>
      <c r="L77" s="150">
        <v>176550.848</v>
      </c>
      <c r="M77" s="126">
        <v>135595.36900000001</v>
      </c>
      <c r="N77" s="376"/>
      <c r="O77" s="348"/>
      <c r="P77" s="178" t="s">
        <v>479</v>
      </c>
      <c r="Q77" s="163">
        <f t="shared" si="1"/>
        <v>0.84835599759999647</v>
      </c>
    </row>
    <row r="78" spans="1:17" ht="63.75" x14ac:dyDescent="0.25">
      <c r="A78" s="149" t="s">
        <v>346</v>
      </c>
      <c r="B78" s="333" t="s">
        <v>347</v>
      </c>
      <c r="C78" s="622"/>
      <c r="D78" s="150"/>
      <c r="E78" s="131">
        <v>163.5</v>
      </c>
      <c r="F78" s="143"/>
      <c r="G78" s="151"/>
      <c r="H78" s="150"/>
      <c r="I78" s="131">
        <v>163.5</v>
      </c>
      <c r="J78" s="143"/>
      <c r="K78" s="152"/>
      <c r="L78" s="150"/>
      <c r="M78" s="126">
        <v>132.327</v>
      </c>
      <c r="N78" s="376"/>
      <c r="O78" s="348"/>
      <c r="P78" s="349"/>
      <c r="Q78" s="163">
        <f t="shared" si="1"/>
        <v>0.80933944954128434</v>
      </c>
    </row>
    <row r="79" spans="1:17" ht="51" x14ac:dyDescent="0.25">
      <c r="A79" s="149" t="s">
        <v>348</v>
      </c>
      <c r="B79" s="333" t="s">
        <v>241</v>
      </c>
      <c r="C79" s="622"/>
      <c r="D79" s="150"/>
      <c r="E79" s="131">
        <v>321728.90000000002</v>
      </c>
      <c r="F79" s="143"/>
      <c r="G79" s="151"/>
      <c r="H79" s="150"/>
      <c r="I79" s="131">
        <v>321728.90000000002</v>
      </c>
      <c r="J79" s="143"/>
      <c r="K79" s="152"/>
      <c r="L79" s="150"/>
      <c r="M79" s="126">
        <v>269187.00300000003</v>
      </c>
      <c r="N79" s="376"/>
      <c r="O79" s="348"/>
      <c r="P79" s="349"/>
      <c r="Q79" s="163">
        <f t="shared" si="1"/>
        <v>0.83668891106767218</v>
      </c>
    </row>
    <row r="80" spans="1:17" ht="76.5" x14ac:dyDescent="0.25">
      <c r="A80" s="149" t="s">
        <v>349</v>
      </c>
      <c r="B80" s="333" t="s">
        <v>242</v>
      </c>
      <c r="C80" s="622" t="s">
        <v>69</v>
      </c>
      <c r="D80" s="150"/>
      <c r="E80" s="131">
        <v>2554.5</v>
      </c>
      <c r="F80" s="143"/>
      <c r="G80" s="151"/>
      <c r="H80" s="150"/>
      <c r="I80" s="131">
        <v>2554.5</v>
      </c>
      <c r="J80" s="143"/>
      <c r="K80" s="152"/>
      <c r="L80" s="150"/>
      <c r="M80" s="126">
        <v>1557.779</v>
      </c>
      <c r="N80" s="376"/>
      <c r="O80" s="348"/>
      <c r="P80" s="377"/>
      <c r="Q80" s="163">
        <f t="shared" si="1"/>
        <v>0.60981757682521043</v>
      </c>
    </row>
    <row r="81" spans="1:20" ht="102" x14ac:dyDescent="0.25">
      <c r="A81" s="149" t="s">
        <v>350</v>
      </c>
      <c r="B81" s="333" t="s">
        <v>243</v>
      </c>
      <c r="C81" s="622"/>
      <c r="D81" s="150">
        <v>9325.2000000000007</v>
      </c>
      <c r="E81" s="131"/>
      <c r="F81" s="143"/>
      <c r="G81" s="151"/>
      <c r="H81" s="150">
        <v>9325.2000000000007</v>
      </c>
      <c r="I81" s="131"/>
      <c r="J81" s="143"/>
      <c r="K81" s="152"/>
      <c r="L81" s="150">
        <v>4828.22</v>
      </c>
      <c r="M81" s="126"/>
      <c r="N81" s="376"/>
      <c r="O81" s="348"/>
      <c r="P81" s="178" t="s">
        <v>478</v>
      </c>
      <c r="Q81" s="163">
        <f>L81/D81</f>
        <v>0.51776047698708871</v>
      </c>
    </row>
    <row r="82" spans="1:20" ht="90" customHeight="1" x14ac:dyDescent="0.25">
      <c r="A82" s="149" t="s">
        <v>351</v>
      </c>
      <c r="B82" s="333" t="s">
        <v>244</v>
      </c>
      <c r="C82" s="622"/>
      <c r="D82" s="150">
        <v>403394.1</v>
      </c>
      <c r="E82" s="131"/>
      <c r="F82" s="143"/>
      <c r="G82" s="151"/>
      <c r="H82" s="150">
        <v>403394.1</v>
      </c>
      <c r="I82" s="131"/>
      <c r="J82" s="143"/>
      <c r="K82" s="152"/>
      <c r="L82" s="150">
        <v>313339.49099999998</v>
      </c>
      <c r="M82" s="126"/>
      <c r="N82" s="376"/>
      <c r="O82" s="348"/>
      <c r="P82" s="178" t="s">
        <v>478</v>
      </c>
      <c r="Q82" s="163">
        <f t="shared" ref="Q82:Q88" si="2">L82/D82</f>
        <v>0.77675774385396312</v>
      </c>
    </row>
    <row r="83" spans="1:20" ht="90" x14ac:dyDescent="0.25">
      <c r="A83" s="149" t="s">
        <v>352</v>
      </c>
      <c r="B83" s="333" t="s">
        <v>245</v>
      </c>
      <c r="C83" s="622"/>
      <c r="D83" s="150">
        <v>2.5</v>
      </c>
      <c r="E83" s="131"/>
      <c r="F83" s="143"/>
      <c r="G83" s="151"/>
      <c r="H83" s="150">
        <v>2.5</v>
      </c>
      <c r="I83" s="131"/>
      <c r="J83" s="143"/>
      <c r="K83" s="152"/>
      <c r="L83" s="150">
        <v>1.012</v>
      </c>
      <c r="M83" s="126"/>
      <c r="N83" s="376"/>
      <c r="O83" s="348"/>
      <c r="P83" s="178" t="s">
        <v>478</v>
      </c>
      <c r="Q83" s="163">
        <f t="shared" si="2"/>
        <v>0.40479999999999999</v>
      </c>
    </row>
    <row r="84" spans="1:20" ht="102" x14ac:dyDescent="0.25">
      <c r="A84" s="149" t="s">
        <v>353</v>
      </c>
      <c r="B84" s="333" t="s">
        <v>246</v>
      </c>
      <c r="C84" s="622"/>
      <c r="D84" s="150">
        <v>0.5</v>
      </c>
      <c r="E84" s="131"/>
      <c r="F84" s="143"/>
      <c r="G84" s="151"/>
      <c r="H84" s="150">
        <v>0.5</v>
      </c>
      <c r="I84" s="131"/>
      <c r="J84" s="143"/>
      <c r="K84" s="152"/>
      <c r="L84" s="150">
        <v>0</v>
      </c>
      <c r="M84" s="126"/>
      <c r="N84" s="376"/>
      <c r="O84" s="348"/>
      <c r="P84" s="178" t="s">
        <v>478</v>
      </c>
      <c r="Q84" s="163">
        <f t="shared" si="2"/>
        <v>0</v>
      </c>
    </row>
    <row r="85" spans="1:20" ht="90" x14ac:dyDescent="0.25">
      <c r="A85" s="149" t="s">
        <v>354</v>
      </c>
      <c r="B85" s="333" t="s">
        <v>247</v>
      </c>
      <c r="C85" s="622"/>
      <c r="D85" s="150">
        <v>47334.8</v>
      </c>
      <c r="E85" s="131"/>
      <c r="F85" s="143"/>
      <c r="G85" s="151"/>
      <c r="H85" s="150">
        <v>47334.8</v>
      </c>
      <c r="I85" s="131"/>
      <c r="J85" s="143"/>
      <c r="K85" s="152"/>
      <c r="L85" s="150">
        <v>31842.528999999999</v>
      </c>
      <c r="M85" s="126"/>
      <c r="N85" s="376"/>
      <c r="O85" s="348"/>
      <c r="P85" s="178" t="s">
        <v>478</v>
      </c>
      <c r="Q85" s="163">
        <f t="shared" si="2"/>
        <v>0.67270864142237841</v>
      </c>
    </row>
    <row r="86" spans="1:20" ht="63.75" x14ac:dyDescent="0.25">
      <c r="A86" s="149" t="s">
        <v>355</v>
      </c>
      <c r="B86" s="333" t="s">
        <v>356</v>
      </c>
      <c r="C86" s="622"/>
      <c r="D86" s="150"/>
      <c r="E86" s="131">
        <v>1692.6</v>
      </c>
      <c r="F86" s="143"/>
      <c r="G86" s="151"/>
      <c r="H86" s="150"/>
      <c r="I86" s="131">
        <v>1692.6</v>
      </c>
      <c r="J86" s="143"/>
      <c r="K86" s="152"/>
      <c r="L86" s="150"/>
      <c r="M86" s="126">
        <v>550.79899999999998</v>
      </c>
      <c r="N86" s="376"/>
      <c r="O86" s="348"/>
      <c r="P86" s="377"/>
      <c r="Q86" s="163">
        <f t="shared" si="1"/>
        <v>0.32541592815786363</v>
      </c>
    </row>
    <row r="87" spans="1:20" ht="90" x14ac:dyDescent="0.25">
      <c r="A87" s="149" t="s">
        <v>357</v>
      </c>
      <c r="B87" s="333" t="s">
        <v>248</v>
      </c>
      <c r="C87" s="622"/>
      <c r="D87" s="150">
        <v>7729.2</v>
      </c>
      <c r="E87" s="131"/>
      <c r="F87" s="143"/>
      <c r="G87" s="151"/>
      <c r="H87" s="150">
        <v>7729.2</v>
      </c>
      <c r="I87" s="131"/>
      <c r="J87" s="143"/>
      <c r="K87" s="152"/>
      <c r="L87" s="150">
        <v>5953.9129999999996</v>
      </c>
      <c r="M87" s="126"/>
      <c r="N87" s="376"/>
      <c r="O87" s="348"/>
      <c r="P87" s="178" t="s">
        <v>478</v>
      </c>
      <c r="Q87" s="163">
        <f t="shared" si="2"/>
        <v>0.77031426279563209</v>
      </c>
    </row>
    <row r="88" spans="1:20" ht="90" x14ac:dyDescent="0.25">
      <c r="A88" s="149" t="s">
        <v>358</v>
      </c>
      <c r="B88" s="333" t="s">
        <v>249</v>
      </c>
      <c r="C88" s="622" t="s">
        <v>69</v>
      </c>
      <c r="D88" s="150">
        <v>90.9</v>
      </c>
      <c r="E88" s="131"/>
      <c r="F88" s="143"/>
      <c r="G88" s="151"/>
      <c r="H88" s="150">
        <v>90.9</v>
      </c>
      <c r="I88" s="131"/>
      <c r="J88" s="143"/>
      <c r="K88" s="152"/>
      <c r="L88" s="150"/>
      <c r="M88" s="126"/>
      <c r="N88" s="376"/>
      <c r="O88" s="348"/>
      <c r="P88" s="178" t="s">
        <v>478</v>
      </c>
      <c r="Q88" s="163">
        <f t="shared" si="2"/>
        <v>0</v>
      </c>
    </row>
    <row r="89" spans="1:20" ht="102" x14ac:dyDescent="0.25">
      <c r="A89" s="149" t="s">
        <v>359</v>
      </c>
      <c r="B89" s="333" t="s">
        <v>250</v>
      </c>
      <c r="C89" s="634"/>
      <c r="D89" s="150"/>
      <c r="E89" s="131">
        <v>488045.8</v>
      </c>
      <c r="F89" s="143"/>
      <c r="G89" s="151"/>
      <c r="H89" s="150"/>
      <c r="I89" s="131">
        <v>488045.8</v>
      </c>
      <c r="J89" s="143"/>
      <c r="K89" s="152"/>
      <c r="L89" s="150"/>
      <c r="M89" s="126">
        <v>345546.04599999997</v>
      </c>
      <c r="N89" s="376"/>
      <c r="O89" s="348"/>
      <c r="P89" s="349"/>
      <c r="Q89" s="163">
        <f t="shared" si="1"/>
        <v>0.70801971044520817</v>
      </c>
    </row>
    <row r="90" spans="1:20" ht="153.75" thickBot="1" x14ac:dyDescent="0.3">
      <c r="A90" s="149" t="s">
        <v>360</v>
      </c>
      <c r="B90" s="179" t="s">
        <v>361</v>
      </c>
      <c r="C90" s="319" t="s">
        <v>444</v>
      </c>
      <c r="D90" s="180"/>
      <c r="E90" s="181">
        <v>24785.1</v>
      </c>
      <c r="F90" s="144"/>
      <c r="G90" s="182"/>
      <c r="H90" s="180"/>
      <c r="I90" s="181">
        <v>24785.1</v>
      </c>
      <c r="J90" s="144"/>
      <c r="K90" s="183"/>
      <c r="L90" s="180"/>
      <c r="M90" s="128">
        <v>18627.3</v>
      </c>
      <c r="N90" s="208"/>
      <c r="O90" s="184"/>
      <c r="P90" s="185"/>
      <c r="Q90" s="163">
        <f t="shared" si="1"/>
        <v>0.75155234394858206</v>
      </c>
    </row>
    <row r="91" spans="1:20" s="194" customFormat="1" ht="15.75" thickBot="1" x14ac:dyDescent="0.3">
      <c r="A91" s="209"/>
      <c r="B91" s="210" t="s">
        <v>166</v>
      </c>
      <c r="C91" s="211"/>
      <c r="D91" s="378">
        <f>D63+D64+D65+D66+D67+D68+D69+D70+D71+D72+D86+D87+D88+D89+D90</f>
        <v>644647.6</v>
      </c>
      <c r="E91" s="379">
        <f>E63+E64+E65+E66+E67+E68+E69+E70+E71+E72+E86+E87+E88+E89+E90</f>
        <v>1895219.5000000002</v>
      </c>
      <c r="F91" s="212"/>
      <c r="G91" s="213"/>
      <c r="H91" s="378">
        <f>H63+H64+H65+H66+H67+H68+H69+H70+H71+H72+H86+H87+H88+H89+H90</f>
        <v>644647.6</v>
      </c>
      <c r="I91" s="379">
        <f>I63+I64+I65+I66+I67+I68+I69+I70+I71+I72+I86+I87+I88+I89+I90</f>
        <v>1895219.5000000002</v>
      </c>
      <c r="J91" s="212"/>
      <c r="K91" s="214"/>
      <c r="L91" s="378">
        <f>L63+L64+L65+L66+L67+L68+L69+L70+L71+L72+L86+L87+L88+L89+L90</f>
        <v>532516.01299999992</v>
      </c>
      <c r="M91" s="379">
        <f>M63+M64+M65+M66+M67+M68+M69+M70+M71+M72+M86+M87+M88+M89+M90</f>
        <v>1581828.439</v>
      </c>
      <c r="N91" s="215"/>
      <c r="O91" s="216"/>
      <c r="P91" s="217"/>
      <c r="Q91" s="163">
        <f>M91/E91</f>
        <v>0.83464128508597546</v>
      </c>
      <c r="R91" s="218">
        <f>L91/D91</f>
        <v>0.82605754368743467</v>
      </c>
      <c r="S91" s="314">
        <f>E91-E90</f>
        <v>1870434.4000000001</v>
      </c>
      <c r="T91" s="195"/>
    </row>
    <row r="92" spans="1:20" ht="19.5" thickBot="1" x14ac:dyDescent="0.3">
      <c r="A92" s="635" t="s">
        <v>172</v>
      </c>
      <c r="B92" s="636"/>
      <c r="C92" s="636"/>
      <c r="D92" s="636"/>
      <c r="E92" s="636"/>
      <c r="F92" s="636"/>
      <c r="G92" s="636"/>
      <c r="H92" s="636"/>
      <c r="I92" s="636"/>
      <c r="J92" s="636"/>
      <c r="K92" s="636"/>
      <c r="L92" s="636"/>
      <c r="M92" s="636"/>
      <c r="N92" s="636"/>
      <c r="O92" s="636"/>
      <c r="P92" s="637"/>
      <c r="Q92" s="163" t="e">
        <f t="shared" si="1"/>
        <v>#DIV/0!</v>
      </c>
    </row>
    <row r="93" spans="1:20" ht="38.25" customHeight="1" x14ac:dyDescent="0.25">
      <c r="A93" s="380" t="s">
        <v>367</v>
      </c>
      <c r="B93" s="381" t="s">
        <v>283</v>
      </c>
      <c r="C93" s="382"/>
      <c r="D93" s="383">
        <f>D94</f>
        <v>17332.96</v>
      </c>
      <c r="E93" s="383">
        <f>E94</f>
        <v>15000</v>
      </c>
      <c r="F93" s="384"/>
      <c r="G93" s="385"/>
      <c r="H93" s="383">
        <f>H94</f>
        <v>17332.96</v>
      </c>
      <c r="I93" s="383">
        <f>I94</f>
        <v>15000</v>
      </c>
      <c r="J93" s="386"/>
      <c r="K93" s="387"/>
      <c r="L93" s="388"/>
      <c r="M93" s="389">
        <f>M94</f>
        <v>0</v>
      </c>
      <c r="N93" s="384"/>
      <c r="O93" s="385"/>
      <c r="P93" s="320"/>
      <c r="Q93" s="163">
        <f t="shared" si="1"/>
        <v>0</v>
      </c>
    </row>
    <row r="94" spans="1:20" ht="191.25" x14ac:dyDescent="0.25">
      <c r="A94" s="390" t="s">
        <v>368</v>
      </c>
      <c r="B94" s="219" t="s">
        <v>284</v>
      </c>
      <c r="C94" s="622" t="s">
        <v>13</v>
      </c>
      <c r="D94" s="391">
        <f>SUM(D95:D103)</f>
        <v>17332.96</v>
      </c>
      <c r="E94" s="127">
        <f>SUM(E95:E103)</f>
        <v>15000</v>
      </c>
      <c r="F94" s="129"/>
      <c r="G94" s="392"/>
      <c r="H94" s="391">
        <f>SUM(H95:H103)</f>
        <v>17332.96</v>
      </c>
      <c r="I94" s="127">
        <f>SUM(I95:I103)</f>
        <v>15000</v>
      </c>
      <c r="J94" s="393"/>
      <c r="K94" s="394"/>
      <c r="L94" s="201"/>
      <c r="M94" s="127">
        <f>SUM(M95:M103)</f>
        <v>0</v>
      </c>
      <c r="N94" s="129"/>
      <c r="O94" s="392"/>
      <c r="P94" s="395"/>
      <c r="Q94" s="163">
        <f t="shared" si="1"/>
        <v>0</v>
      </c>
    </row>
    <row r="95" spans="1:20" ht="63.75" hidden="1" customHeight="1" x14ac:dyDescent="0.25">
      <c r="A95" s="396" t="s">
        <v>369</v>
      </c>
      <c r="B95" s="220" t="s">
        <v>285</v>
      </c>
      <c r="C95" s="622"/>
      <c r="D95" s="150"/>
      <c r="E95" s="131"/>
      <c r="F95" s="143"/>
      <c r="G95" s="151"/>
      <c r="H95" s="150"/>
      <c r="I95" s="131"/>
      <c r="J95" s="376"/>
      <c r="K95" s="397"/>
      <c r="L95" s="150"/>
      <c r="M95" s="126"/>
      <c r="N95" s="143"/>
      <c r="O95" s="151"/>
      <c r="P95" s="349"/>
      <c r="Q95" s="163" t="e">
        <f t="shared" si="1"/>
        <v>#DIV/0!</v>
      </c>
    </row>
    <row r="96" spans="1:20" ht="63.75" hidden="1" customHeight="1" x14ac:dyDescent="0.25">
      <c r="A96" s="221" t="s">
        <v>370</v>
      </c>
      <c r="B96" s="220" t="s">
        <v>286</v>
      </c>
      <c r="C96" s="622"/>
      <c r="D96" s="150"/>
      <c r="E96" s="131"/>
      <c r="F96" s="173"/>
      <c r="G96" s="174"/>
      <c r="H96" s="150"/>
      <c r="I96" s="131"/>
      <c r="J96" s="200"/>
      <c r="K96" s="222"/>
      <c r="L96" s="175"/>
      <c r="M96" s="126"/>
      <c r="N96" s="173"/>
      <c r="O96" s="174"/>
      <c r="P96" s="177"/>
      <c r="Q96" s="163" t="e">
        <f t="shared" si="1"/>
        <v>#DIV/0!</v>
      </c>
    </row>
    <row r="97" spans="1:17" ht="63.75" hidden="1" customHeight="1" x14ac:dyDescent="0.25">
      <c r="A97" s="221" t="s">
        <v>371</v>
      </c>
      <c r="B97" s="220" t="s">
        <v>287</v>
      </c>
      <c r="C97" s="622"/>
      <c r="D97" s="150"/>
      <c r="E97" s="131"/>
      <c r="F97" s="173"/>
      <c r="G97" s="174"/>
      <c r="H97" s="150"/>
      <c r="I97" s="131"/>
      <c r="J97" s="200"/>
      <c r="K97" s="222"/>
      <c r="L97" s="175"/>
      <c r="M97" s="126"/>
      <c r="N97" s="173"/>
      <c r="O97" s="174"/>
      <c r="P97" s="177"/>
      <c r="Q97" s="163" t="e">
        <f t="shared" si="1"/>
        <v>#DIV/0!</v>
      </c>
    </row>
    <row r="98" spans="1:17" ht="76.5" hidden="1" customHeight="1" x14ac:dyDescent="0.25">
      <c r="A98" s="221" t="s">
        <v>372</v>
      </c>
      <c r="B98" s="220" t="s">
        <v>288</v>
      </c>
      <c r="C98" s="622"/>
      <c r="D98" s="150"/>
      <c r="E98" s="131"/>
      <c r="F98" s="173"/>
      <c r="G98" s="174"/>
      <c r="H98" s="150"/>
      <c r="I98" s="131"/>
      <c r="J98" s="200"/>
      <c r="K98" s="222"/>
      <c r="L98" s="175"/>
      <c r="M98" s="126"/>
      <c r="N98" s="173"/>
      <c r="O98" s="174"/>
      <c r="P98" s="177"/>
      <c r="Q98" s="163" t="e">
        <f t="shared" si="1"/>
        <v>#DIV/0!</v>
      </c>
    </row>
    <row r="99" spans="1:17" ht="76.5" hidden="1" customHeight="1" x14ac:dyDescent="0.25">
      <c r="A99" s="221" t="s">
        <v>373</v>
      </c>
      <c r="B99" s="220" t="s">
        <v>363</v>
      </c>
      <c r="C99" s="622"/>
      <c r="D99" s="150"/>
      <c r="E99" s="131"/>
      <c r="F99" s="173"/>
      <c r="G99" s="174"/>
      <c r="H99" s="150"/>
      <c r="I99" s="131"/>
      <c r="J99" s="200"/>
      <c r="K99" s="222"/>
      <c r="L99" s="175"/>
      <c r="M99" s="126"/>
      <c r="N99" s="173"/>
      <c r="O99" s="174"/>
      <c r="P99" s="177"/>
      <c r="Q99" s="163" t="e">
        <f t="shared" si="1"/>
        <v>#DIV/0!</v>
      </c>
    </row>
    <row r="100" spans="1:17" ht="63.75" x14ac:dyDescent="0.25">
      <c r="A100" s="221" t="s">
        <v>374</v>
      </c>
      <c r="B100" s="220" t="s">
        <v>289</v>
      </c>
      <c r="C100" s="622"/>
      <c r="D100" s="398">
        <v>6933.18</v>
      </c>
      <c r="E100" s="131">
        <v>6000</v>
      </c>
      <c r="F100" s="173"/>
      <c r="G100" s="174"/>
      <c r="H100" s="398">
        <v>6933.18</v>
      </c>
      <c r="I100" s="131">
        <v>6000</v>
      </c>
      <c r="J100" s="200"/>
      <c r="K100" s="222"/>
      <c r="L100" s="175"/>
      <c r="M100" s="126">
        <v>0</v>
      </c>
      <c r="N100" s="173"/>
      <c r="O100" s="174"/>
      <c r="P100" s="177"/>
      <c r="Q100" s="163">
        <f t="shared" si="1"/>
        <v>0</v>
      </c>
    </row>
    <row r="101" spans="1:17" ht="102" customHeight="1" x14ac:dyDescent="0.25">
      <c r="A101" s="221" t="s">
        <v>375</v>
      </c>
      <c r="B101" s="220" t="s">
        <v>290</v>
      </c>
      <c r="C101" s="622"/>
      <c r="D101" s="398">
        <v>6933.18</v>
      </c>
      <c r="E101" s="131">
        <v>6000</v>
      </c>
      <c r="F101" s="173"/>
      <c r="G101" s="174"/>
      <c r="H101" s="398">
        <v>6933.18</v>
      </c>
      <c r="I101" s="131">
        <v>6000</v>
      </c>
      <c r="J101" s="200"/>
      <c r="K101" s="222"/>
      <c r="L101" s="175"/>
      <c r="M101" s="126">
        <v>0</v>
      </c>
      <c r="N101" s="173"/>
      <c r="O101" s="174"/>
      <c r="P101" s="177"/>
      <c r="Q101" s="163">
        <f t="shared" si="1"/>
        <v>0</v>
      </c>
    </row>
    <row r="102" spans="1:17" ht="63.75" x14ac:dyDescent="0.25">
      <c r="A102" s="221" t="s">
        <v>376</v>
      </c>
      <c r="B102" s="220" t="s">
        <v>291</v>
      </c>
      <c r="C102" s="634"/>
      <c r="D102" s="398">
        <v>3466.6</v>
      </c>
      <c r="E102" s="131">
        <v>3000</v>
      </c>
      <c r="F102" s="173"/>
      <c r="G102" s="174"/>
      <c r="H102" s="398">
        <v>3466.6</v>
      </c>
      <c r="I102" s="131">
        <v>3000</v>
      </c>
      <c r="J102" s="200"/>
      <c r="K102" s="222"/>
      <c r="L102" s="175"/>
      <c r="M102" s="126">
        <v>0</v>
      </c>
      <c r="N102" s="173"/>
      <c r="O102" s="174"/>
      <c r="P102" s="177"/>
      <c r="Q102" s="163">
        <f t="shared" si="1"/>
        <v>0</v>
      </c>
    </row>
    <row r="103" spans="1:17" ht="76.5" hidden="1" customHeight="1" x14ac:dyDescent="0.25">
      <c r="A103" s="221" t="s">
        <v>377</v>
      </c>
      <c r="B103" s="220" t="s">
        <v>292</v>
      </c>
      <c r="C103" s="315"/>
      <c r="D103" s="150"/>
      <c r="E103" s="131">
        <v>0</v>
      </c>
      <c r="F103" s="173"/>
      <c r="G103" s="174"/>
      <c r="H103" s="150"/>
      <c r="I103" s="131">
        <v>0</v>
      </c>
      <c r="J103" s="200"/>
      <c r="K103" s="222"/>
      <c r="L103" s="175"/>
      <c r="M103" s="126">
        <v>0</v>
      </c>
      <c r="N103" s="173"/>
      <c r="O103" s="174"/>
      <c r="P103" s="177"/>
      <c r="Q103" s="163"/>
    </row>
    <row r="104" spans="1:17" ht="63.75" hidden="1" customHeight="1" x14ac:dyDescent="0.25">
      <c r="A104" s="223" t="s">
        <v>378</v>
      </c>
      <c r="B104" s="219" t="s">
        <v>293</v>
      </c>
      <c r="C104" s="315"/>
      <c r="D104" s="201"/>
      <c r="E104" s="127">
        <f>E105</f>
        <v>0</v>
      </c>
      <c r="F104" s="202"/>
      <c r="G104" s="203"/>
      <c r="H104" s="201"/>
      <c r="I104" s="127">
        <f>I105</f>
        <v>0</v>
      </c>
      <c r="J104" s="205"/>
      <c r="K104" s="224"/>
      <c r="L104" s="225"/>
      <c r="M104" s="130">
        <f>M105</f>
        <v>0</v>
      </c>
      <c r="N104" s="202"/>
      <c r="O104" s="203"/>
      <c r="P104" s="207"/>
      <c r="Q104" s="163"/>
    </row>
    <row r="105" spans="1:17" ht="51" hidden="1" customHeight="1" x14ac:dyDescent="0.25">
      <c r="A105" s="223" t="s">
        <v>379</v>
      </c>
      <c r="B105" s="219" t="s">
        <v>294</v>
      </c>
      <c r="C105" s="315"/>
      <c r="D105" s="201"/>
      <c r="E105" s="127">
        <f>E106+E107</f>
        <v>0</v>
      </c>
      <c r="F105" s="202"/>
      <c r="G105" s="203"/>
      <c r="H105" s="201"/>
      <c r="I105" s="127">
        <f>I106+I107</f>
        <v>0</v>
      </c>
      <c r="J105" s="205"/>
      <c r="K105" s="224"/>
      <c r="L105" s="225"/>
      <c r="M105" s="130">
        <f>M106+M107</f>
        <v>0</v>
      </c>
      <c r="N105" s="202"/>
      <c r="O105" s="203"/>
      <c r="P105" s="207"/>
      <c r="Q105" s="163"/>
    </row>
    <row r="106" spans="1:17" ht="63.75" hidden="1" customHeight="1" x14ac:dyDescent="0.25">
      <c r="A106" s="221" t="s">
        <v>380</v>
      </c>
      <c r="B106" s="220" t="s">
        <v>286</v>
      </c>
      <c r="C106" s="315"/>
      <c r="D106" s="150"/>
      <c r="E106" s="131"/>
      <c r="F106" s="173"/>
      <c r="G106" s="174"/>
      <c r="H106" s="150"/>
      <c r="I106" s="131"/>
      <c r="J106" s="200"/>
      <c r="K106" s="222"/>
      <c r="L106" s="175"/>
      <c r="M106" s="126"/>
      <c r="N106" s="173"/>
      <c r="O106" s="174"/>
      <c r="P106" s="177"/>
      <c r="Q106" s="163"/>
    </row>
    <row r="107" spans="1:17" ht="76.5" hidden="1" customHeight="1" x14ac:dyDescent="0.25">
      <c r="A107" s="221" t="s">
        <v>381</v>
      </c>
      <c r="B107" s="220" t="s">
        <v>295</v>
      </c>
      <c r="C107" s="315"/>
      <c r="D107" s="150"/>
      <c r="E107" s="131"/>
      <c r="F107" s="173"/>
      <c r="G107" s="174"/>
      <c r="H107" s="150"/>
      <c r="I107" s="131"/>
      <c r="J107" s="200"/>
      <c r="K107" s="222"/>
      <c r="L107" s="175"/>
      <c r="M107" s="126"/>
      <c r="N107" s="173"/>
      <c r="O107" s="174"/>
      <c r="P107" s="177"/>
      <c r="Q107" s="163"/>
    </row>
    <row r="108" spans="1:17" ht="57.75" customHeight="1" x14ac:dyDescent="0.25">
      <c r="A108" s="223" t="s">
        <v>382</v>
      </c>
      <c r="B108" s="219" t="s">
        <v>296</v>
      </c>
      <c r="C108" s="618" t="s">
        <v>69</v>
      </c>
      <c r="D108" s="201"/>
      <c r="E108" s="127">
        <f>E109+E110</f>
        <v>250</v>
      </c>
      <c r="F108" s="202"/>
      <c r="G108" s="203"/>
      <c r="H108" s="201"/>
      <c r="I108" s="127">
        <f>I109+I110</f>
        <v>250</v>
      </c>
      <c r="J108" s="226"/>
      <c r="K108" s="227"/>
      <c r="L108" s="225"/>
      <c r="M108" s="127">
        <v>155</v>
      </c>
      <c r="N108" s="202"/>
      <c r="O108" s="203"/>
      <c r="P108" s="207"/>
      <c r="Q108" s="163">
        <f t="shared" si="1"/>
        <v>0.62</v>
      </c>
    </row>
    <row r="109" spans="1:17" ht="76.5" x14ac:dyDescent="0.25">
      <c r="A109" s="221" t="s">
        <v>383</v>
      </c>
      <c r="B109" s="220" t="s">
        <v>297</v>
      </c>
      <c r="C109" s="618"/>
      <c r="D109" s="150"/>
      <c r="E109" s="131">
        <v>50</v>
      </c>
      <c r="F109" s="173"/>
      <c r="G109" s="174"/>
      <c r="H109" s="150"/>
      <c r="I109" s="131">
        <v>50</v>
      </c>
      <c r="J109" s="228"/>
      <c r="K109" s="229"/>
      <c r="L109" s="175"/>
      <c r="M109" s="126">
        <v>50</v>
      </c>
      <c r="N109" s="173"/>
      <c r="O109" s="174"/>
      <c r="P109" s="177"/>
      <c r="Q109" s="163">
        <f t="shared" si="1"/>
        <v>1</v>
      </c>
    </row>
    <row r="110" spans="1:17" ht="159.75" customHeight="1" x14ac:dyDescent="0.25">
      <c r="A110" s="223" t="s">
        <v>384</v>
      </c>
      <c r="B110" s="219" t="s">
        <v>298</v>
      </c>
      <c r="C110" s="618"/>
      <c r="D110" s="201"/>
      <c r="E110" s="127">
        <f>E111+E112+E113+E114</f>
        <v>200</v>
      </c>
      <c r="F110" s="202"/>
      <c r="G110" s="203"/>
      <c r="H110" s="201"/>
      <c r="I110" s="127">
        <f>I111+I112+I113+I114</f>
        <v>200</v>
      </c>
      <c r="J110" s="226"/>
      <c r="K110" s="227"/>
      <c r="L110" s="225"/>
      <c r="M110" s="127">
        <f>M111+M112+M113+M114</f>
        <v>105</v>
      </c>
      <c r="N110" s="202"/>
      <c r="O110" s="203"/>
      <c r="P110" s="207"/>
      <c r="Q110" s="163">
        <f t="shared" si="1"/>
        <v>0.52500000000000002</v>
      </c>
    </row>
    <row r="111" spans="1:17" ht="127.5" x14ac:dyDescent="0.25">
      <c r="A111" s="221" t="s">
        <v>385</v>
      </c>
      <c r="B111" s="220" t="s">
        <v>299</v>
      </c>
      <c r="C111" s="315"/>
      <c r="D111" s="150"/>
      <c r="E111" s="131">
        <v>50</v>
      </c>
      <c r="F111" s="173"/>
      <c r="G111" s="174"/>
      <c r="H111" s="150"/>
      <c r="I111" s="131">
        <v>50</v>
      </c>
      <c r="J111" s="230"/>
      <c r="K111" s="231"/>
      <c r="L111" s="232"/>
      <c r="M111" s="131">
        <v>50</v>
      </c>
      <c r="N111" s="173"/>
      <c r="O111" s="174"/>
      <c r="P111" s="177"/>
      <c r="Q111" s="163">
        <f t="shared" si="1"/>
        <v>1</v>
      </c>
    </row>
    <row r="112" spans="1:17" ht="63.75" x14ac:dyDescent="0.25">
      <c r="A112" s="221" t="s">
        <v>386</v>
      </c>
      <c r="B112" s="220" t="s">
        <v>300</v>
      </c>
      <c r="C112" s="315"/>
      <c r="D112" s="150"/>
      <c r="E112" s="131">
        <v>40</v>
      </c>
      <c r="F112" s="173"/>
      <c r="G112" s="174"/>
      <c r="H112" s="150"/>
      <c r="I112" s="131">
        <v>40</v>
      </c>
      <c r="J112" s="230"/>
      <c r="K112" s="231"/>
      <c r="L112" s="232"/>
      <c r="M112" s="131">
        <v>30</v>
      </c>
      <c r="N112" s="173"/>
      <c r="O112" s="174"/>
      <c r="P112" s="177"/>
      <c r="Q112" s="163">
        <f t="shared" si="1"/>
        <v>0.75</v>
      </c>
    </row>
    <row r="113" spans="1:19" ht="51" x14ac:dyDescent="0.25">
      <c r="A113" s="221" t="s">
        <v>387</v>
      </c>
      <c r="B113" s="220" t="s">
        <v>301</v>
      </c>
      <c r="C113" s="315"/>
      <c r="D113" s="150"/>
      <c r="E113" s="131">
        <v>50</v>
      </c>
      <c r="F113" s="173"/>
      <c r="G113" s="174"/>
      <c r="H113" s="150"/>
      <c r="I113" s="131">
        <v>50</v>
      </c>
      <c r="J113" s="230"/>
      <c r="K113" s="231"/>
      <c r="L113" s="232"/>
      <c r="M113" s="131">
        <v>25</v>
      </c>
      <c r="N113" s="173"/>
      <c r="O113" s="174"/>
      <c r="P113" s="177"/>
      <c r="Q113" s="163">
        <f t="shared" si="1"/>
        <v>0.5</v>
      </c>
    </row>
    <row r="114" spans="1:19" ht="38.25" x14ac:dyDescent="0.25">
      <c r="A114" s="221" t="s">
        <v>388</v>
      </c>
      <c r="B114" s="220" t="s">
        <v>302</v>
      </c>
      <c r="C114" s="315"/>
      <c r="D114" s="150"/>
      <c r="E114" s="131">
        <v>60</v>
      </c>
      <c r="F114" s="173"/>
      <c r="G114" s="174"/>
      <c r="H114" s="150"/>
      <c r="I114" s="131">
        <v>60</v>
      </c>
      <c r="J114" s="230"/>
      <c r="K114" s="231"/>
      <c r="L114" s="232"/>
      <c r="M114" s="316"/>
      <c r="N114" s="173"/>
      <c r="O114" s="174"/>
      <c r="P114" s="177"/>
      <c r="Q114" s="163">
        <f t="shared" si="1"/>
        <v>0</v>
      </c>
    </row>
    <row r="115" spans="1:19" x14ac:dyDescent="0.25">
      <c r="A115" s="223" t="s">
        <v>389</v>
      </c>
      <c r="B115" s="219" t="s">
        <v>173</v>
      </c>
      <c r="C115" s="315"/>
      <c r="D115" s="127">
        <f>D116</f>
        <v>5546.55</v>
      </c>
      <c r="E115" s="127">
        <f>E116</f>
        <v>4800</v>
      </c>
      <c r="F115" s="202"/>
      <c r="G115" s="203"/>
      <c r="H115" s="127">
        <f>H116</f>
        <v>5546.57</v>
      </c>
      <c r="I115" s="127">
        <f>I116</f>
        <v>4800</v>
      </c>
      <c r="J115" s="226"/>
      <c r="K115" s="227"/>
      <c r="L115" s="225"/>
      <c r="M115" s="130">
        <f>M116</f>
        <v>4174.1549999999997</v>
      </c>
      <c r="N115" s="202"/>
      <c r="O115" s="203"/>
      <c r="P115" s="207"/>
      <c r="Q115" s="163">
        <f t="shared" si="1"/>
        <v>0.86961562499999989</v>
      </c>
    </row>
    <row r="116" spans="1:19" ht="25.5" x14ac:dyDescent="0.25">
      <c r="A116" s="399" t="s">
        <v>390</v>
      </c>
      <c r="B116" s="400" t="s">
        <v>303</v>
      </c>
      <c r="C116" s="315"/>
      <c r="D116" s="180">
        <v>5546.55</v>
      </c>
      <c r="E116" s="181">
        <v>4800</v>
      </c>
      <c r="F116" s="401"/>
      <c r="G116" s="402"/>
      <c r="H116" s="180">
        <v>5546.57</v>
      </c>
      <c r="I116" s="181">
        <v>4800</v>
      </c>
      <c r="J116" s="403"/>
      <c r="K116" s="404"/>
      <c r="L116" s="405"/>
      <c r="M116" s="128">
        <v>4174.1549999999997</v>
      </c>
      <c r="N116" s="401"/>
      <c r="O116" s="402"/>
      <c r="P116" s="233"/>
      <c r="Q116" s="163">
        <f t="shared" si="1"/>
        <v>0.86961562499999989</v>
      </c>
    </row>
    <row r="117" spans="1:19" ht="128.25" thickBot="1" x14ac:dyDescent="0.3">
      <c r="A117" s="406" t="s">
        <v>17</v>
      </c>
      <c r="B117" s="407" t="s">
        <v>16</v>
      </c>
      <c r="C117" s="408"/>
      <c r="D117" s="409">
        <v>19775.830000000002</v>
      </c>
      <c r="E117" s="410"/>
      <c r="F117" s="411"/>
      <c r="G117" s="412"/>
      <c r="H117" s="409">
        <v>19775.830000000002</v>
      </c>
      <c r="I117" s="410"/>
      <c r="J117" s="413"/>
      <c r="K117" s="414"/>
      <c r="L117" s="415"/>
      <c r="M117" s="416"/>
      <c r="N117" s="411"/>
      <c r="O117" s="412"/>
      <c r="P117" s="417"/>
      <c r="Q117" s="163"/>
    </row>
    <row r="118" spans="1:19" s="194" customFormat="1" ht="15.75" thickBot="1" x14ac:dyDescent="0.3">
      <c r="A118" s="234"/>
      <c r="B118" s="188" t="s">
        <v>166</v>
      </c>
      <c r="C118" s="235"/>
      <c r="D118" s="317">
        <f>D93+D104+D108+D115+D117</f>
        <v>42655.34</v>
      </c>
      <c r="E118" s="236">
        <f>E93+E104+E108+E115+E117</f>
        <v>20050</v>
      </c>
      <c r="F118" s="132"/>
      <c r="G118" s="237"/>
      <c r="H118" s="317">
        <f>H93+H104+H108+H115+H117</f>
        <v>42655.360000000001</v>
      </c>
      <c r="I118" s="236">
        <f>I93+I104+I108+I115+I117</f>
        <v>20050</v>
      </c>
      <c r="J118" s="238"/>
      <c r="K118" s="239"/>
      <c r="L118" s="236">
        <f>L93+L104+L108+L115+L117</f>
        <v>0</v>
      </c>
      <c r="M118" s="236">
        <f>M93+M104+M108+M115+M117</f>
        <v>4329.1549999999997</v>
      </c>
      <c r="N118" s="190"/>
      <c r="O118" s="191"/>
      <c r="P118" s="193"/>
      <c r="Q118" s="163">
        <f t="shared" si="1"/>
        <v>0.21591795511221945</v>
      </c>
      <c r="S118" s="291">
        <f>42655.36-D118</f>
        <v>2.0000000004074536E-2</v>
      </c>
    </row>
    <row r="119" spans="1:19" ht="19.5" thickBot="1" x14ac:dyDescent="0.35">
      <c r="A119" s="614" t="s">
        <v>174</v>
      </c>
      <c r="B119" s="615"/>
      <c r="C119" s="615"/>
      <c r="D119" s="615"/>
      <c r="E119" s="615"/>
      <c r="F119" s="615"/>
      <c r="G119" s="615"/>
      <c r="H119" s="615"/>
      <c r="I119" s="615"/>
      <c r="J119" s="615"/>
      <c r="K119" s="615"/>
      <c r="L119" s="615"/>
      <c r="M119" s="615"/>
      <c r="N119" s="615"/>
      <c r="O119" s="615"/>
      <c r="P119" s="616"/>
      <c r="Q119" s="163" t="e">
        <f t="shared" si="1"/>
        <v>#DIV/0!</v>
      </c>
    </row>
    <row r="120" spans="1:19" ht="63.75" customHeight="1" x14ac:dyDescent="0.25">
      <c r="A120" s="240" t="s">
        <v>391</v>
      </c>
      <c r="B120" s="241" t="s">
        <v>175</v>
      </c>
      <c r="C120" s="621" t="s">
        <v>69</v>
      </c>
      <c r="D120" s="242">
        <f>D121+D122+D123+D124+D125+D126+D127+D128+D129+D130</f>
        <v>0</v>
      </c>
      <c r="E120" s="133">
        <f>E121+E122+E123+E124+E125+E126+E127+E128+E129+E130</f>
        <v>27251.935999999998</v>
      </c>
      <c r="F120" s="243"/>
      <c r="G120" s="244"/>
      <c r="H120" s="242">
        <f>H121+H122+H123+H124+H125+H126+H127+H128+H129+H130</f>
        <v>0</v>
      </c>
      <c r="I120" s="133">
        <f>I121+I122+I123+I124+I125+I126+I127+I128+I129+I130</f>
        <v>27251.935000000001</v>
      </c>
      <c r="J120" s="243"/>
      <c r="K120" s="245"/>
      <c r="L120" s="242">
        <f>L121+L122+L123+L124+L125+L126+L127+L128+L129+L130</f>
        <v>0</v>
      </c>
      <c r="M120" s="133">
        <f>P120</f>
        <v>19737.558000000001</v>
      </c>
      <c r="N120" s="246"/>
      <c r="O120" s="247"/>
      <c r="P120" s="320">
        <v>19737.558000000001</v>
      </c>
      <c r="Q120" s="163">
        <f t="shared" si="1"/>
        <v>0.72426259917827496</v>
      </c>
      <c r="R120" s="148">
        <v>9585.9</v>
      </c>
    </row>
    <row r="121" spans="1:19" ht="38.25" x14ac:dyDescent="0.35">
      <c r="A121" s="222" t="s">
        <v>408</v>
      </c>
      <c r="B121" s="248" t="s">
        <v>392</v>
      </c>
      <c r="C121" s="620"/>
      <c r="D121" s="249"/>
      <c r="E121" s="134">
        <v>891.2</v>
      </c>
      <c r="F121" s="250"/>
      <c r="G121" s="251"/>
      <c r="H121" s="249"/>
      <c r="I121" s="134">
        <v>891.2</v>
      </c>
      <c r="J121" s="250"/>
      <c r="K121" s="252"/>
      <c r="L121" s="253"/>
      <c r="M121" s="134">
        <v>860.2</v>
      </c>
      <c r="N121" s="200"/>
      <c r="O121" s="176"/>
      <c r="P121" s="177"/>
      <c r="Q121" s="163">
        <f t="shared" si="1"/>
        <v>0.96521543985637348</v>
      </c>
      <c r="R121" s="422">
        <f>M121/R120</f>
        <v>8.9735966367268605E-2</v>
      </c>
      <c r="S121" s="421">
        <v>4.3574416591034747E-2</v>
      </c>
    </row>
    <row r="122" spans="1:19" ht="25.5" x14ac:dyDescent="0.25">
      <c r="A122" s="222" t="s">
        <v>409</v>
      </c>
      <c r="B122" s="248" t="s">
        <v>393</v>
      </c>
      <c r="C122" s="620"/>
      <c r="D122" s="249"/>
      <c r="E122" s="134">
        <v>1000.2</v>
      </c>
      <c r="F122" s="250"/>
      <c r="G122" s="251"/>
      <c r="H122" s="249"/>
      <c r="I122" s="134">
        <v>1000.2</v>
      </c>
      <c r="J122" s="250"/>
      <c r="K122" s="252"/>
      <c r="L122" s="253"/>
      <c r="M122" s="134">
        <f>M120*S122</f>
        <v>1124.2248164491598</v>
      </c>
      <c r="N122" s="200"/>
      <c r="O122" s="176"/>
      <c r="P122" s="177"/>
      <c r="Q122" s="163">
        <f t="shared" si="1"/>
        <v>1.1240000164458706</v>
      </c>
      <c r="R122" s="421">
        <f>M122/R120</f>
        <v>0.11727900525241863</v>
      </c>
      <c r="S122" s="421">
        <v>5.6958658028980064E-2</v>
      </c>
    </row>
    <row r="123" spans="1:19" ht="63.75" customHeight="1" x14ac:dyDescent="0.25">
      <c r="A123" s="222" t="s">
        <v>410</v>
      </c>
      <c r="B123" s="248" t="s">
        <v>394</v>
      </c>
      <c r="C123" s="620"/>
      <c r="D123" s="249"/>
      <c r="E123" s="134">
        <v>119.6</v>
      </c>
      <c r="F123" s="250"/>
      <c r="G123" s="251"/>
      <c r="H123" s="249"/>
      <c r="I123" s="134">
        <v>119.6</v>
      </c>
      <c r="J123" s="250"/>
      <c r="K123" s="252"/>
      <c r="L123" s="253"/>
      <c r="M123" s="134">
        <f>M120*S123</f>
        <v>86.890635996620048</v>
      </c>
      <c r="N123" s="200"/>
      <c r="O123" s="176"/>
      <c r="P123" s="177"/>
      <c r="Q123" s="163">
        <f t="shared" si="1"/>
        <v>0.72651033441990009</v>
      </c>
      <c r="R123" s="421">
        <f>M123/R120</f>
        <v>9.0644212850770449E-3</v>
      </c>
      <c r="S123" s="421">
        <v>4.4022992102984593E-3</v>
      </c>
    </row>
    <row r="124" spans="1:19" ht="63.75" x14ac:dyDescent="0.25">
      <c r="A124" s="222" t="s">
        <v>411</v>
      </c>
      <c r="B124" s="248" t="s">
        <v>395</v>
      </c>
      <c r="C124" s="620"/>
      <c r="D124" s="249"/>
      <c r="E124" s="134">
        <v>14977.8</v>
      </c>
      <c r="F124" s="250"/>
      <c r="G124" s="251"/>
      <c r="H124" s="249"/>
      <c r="I124" s="134">
        <v>14977.8</v>
      </c>
      <c r="J124" s="250"/>
      <c r="K124" s="252"/>
      <c r="L124" s="253"/>
      <c r="M124" s="134">
        <f>M120*S124</f>
        <v>7314.6678762557522</v>
      </c>
      <c r="N124" s="200"/>
      <c r="O124" s="176"/>
      <c r="P124" s="177"/>
      <c r="Q124" s="163">
        <f t="shared" si="1"/>
        <v>0.48836730870059369</v>
      </c>
      <c r="R124" s="421">
        <f>M124/R120</f>
        <v>0.76306532263592908</v>
      </c>
      <c r="S124" s="421">
        <v>0.37059639679112033</v>
      </c>
    </row>
    <row r="125" spans="1:19" ht="114.75" x14ac:dyDescent="0.25">
      <c r="A125" s="222" t="s">
        <v>412</v>
      </c>
      <c r="B125" s="248" t="s">
        <v>396</v>
      </c>
      <c r="C125" s="620"/>
      <c r="D125" s="249"/>
      <c r="E125" s="134">
        <v>606.5</v>
      </c>
      <c r="F125" s="250"/>
      <c r="G125" s="251"/>
      <c r="H125" s="249"/>
      <c r="I125" s="134">
        <v>606.5</v>
      </c>
      <c r="J125" s="250"/>
      <c r="K125" s="252"/>
      <c r="L125" s="253"/>
      <c r="M125" s="134">
        <f>M120*S125</f>
        <v>327.17824786405032</v>
      </c>
      <c r="N125" s="200"/>
      <c r="O125" s="176"/>
      <c r="P125" s="177"/>
      <c r="Q125" s="163">
        <f t="shared" si="1"/>
        <v>0.53945300554666165</v>
      </c>
      <c r="R125" s="421">
        <f>M125/R120</f>
        <v>3.4131197682434652E-2</v>
      </c>
      <c r="S125" s="421">
        <v>1.6576429964844198E-2</v>
      </c>
    </row>
    <row r="126" spans="1:19" ht="25.5" x14ac:dyDescent="0.25">
      <c r="A126" s="222" t="s">
        <v>413</v>
      </c>
      <c r="B126" s="248" t="s">
        <v>397</v>
      </c>
      <c r="C126" s="620"/>
      <c r="D126" s="249"/>
      <c r="E126" s="134">
        <v>1701.336</v>
      </c>
      <c r="F126" s="250"/>
      <c r="G126" s="251"/>
      <c r="H126" s="249"/>
      <c r="I126" s="134">
        <v>1701.335</v>
      </c>
      <c r="J126" s="250"/>
      <c r="K126" s="252"/>
      <c r="L126" s="253"/>
      <c r="M126" s="134">
        <f>M120*S126</f>
        <v>1391.279685851094</v>
      </c>
      <c r="N126" s="200"/>
      <c r="O126" s="176"/>
      <c r="P126" s="177"/>
      <c r="Q126" s="163">
        <f t="shared" si="1"/>
        <v>0.81775715428997797</v>
      </c>
      <c r="R126" s="421">
        <f>M126/R120</f>
        <v>0.14513813891769098</v>
      </c>
      <c r="S126" s="421">
        <v>7.0488947308025338E-2</v>
      </c>
    </row>
    <row r="127" spans="1:19" ht="165.75" customHeight="1" x14ac:dyDescent="0.25">
      <c r="A127" s="222" t="s">
        <v>414</v>
      </c>
      <c r="B127" s="248" t="s">
        <v>431</v>
      </c>
      <c r="C127" s="620"/>
      <c r="D127" s="249"/>
      <c r="E127" s="134">
        <v>4849.1000000000004</v>
      </c>
      <c r="F127" s="250"/>
      <c r="G127" s="251"/>
      <c r="H127" s="249"/>
      <c r="I127" s="134">
        <v>4849.1000000000004</v>
      </c>
      <c r="J127" s="250"/>
      <c r="K127" s="252"/>
      <c r="L127" s="253"/>
      <c r="M127" s="134">
        <f>M120*S127</f>
        <v>3261.8991835508409</v>
      </c>
      <c r="N127" s="200"/>
      <c r="O127" s="176"/>
      <c r="P127" s="177"/>
      <c r="Q127" s="163">
        <f t="shared" si="1"/>
        <v>0.67268136015979063</v>
      </c>
      <c r="R127" s="420">
        <f>M127/R120</f>
        <v>0.34028095260234731</v>
      </c>
      <c r="S127" s="421">
        <v>0.16526356419324217</v>
      </c>
    </row>
    <row r="128" spans="1:19" ht="25.5" x14ac:dyDescent="0.25">
      <c r="A128" s="222" t="s">
        <v>415</v>
      </c>
      <c r="B128" s="248" t="s">
        <v>398</v>
      </c>
      <c r="C128" s="620"/>
      <c r="D128" s="249"/>
      <c r="E128" s="134">
        <v>174.7</v>
      </c>
      <c r="F128" s="250"/>
      <c r="G128" s="251"/>
      <c r="H128" s="249"/>
      <c r="I128" s="134">
        <v>174.7</v>
      </c>
      <c r="J128" s="250"/>
      <c r="K128" s="252"/>
      <c r="L128" s="253"/>
      <c r="M128" s="134">
        <f>M120*S128</f>
        <v>111.39297173974276</v>
      </c>
      <c r="N128" s="200"/>
      <c r="O128" s="176"/>
      <c r="P128" s="177"/>
      <c r="Q128" s="163">
        <f t="shared" si="1"/>
        <v>0.6376243373768905</v>
      </c>
      <c r="R128" s="420">
        <f>M128/R120</f>
        <v>1.1620502168783606E-2</v>
      </c>
      <c r="S128" s="421">
        <v>5.6437058596480252E-3</v>
      </c>
    </row>
    <row r="129" spans="1:19" ht="267.75" x14ac:dyDescent="0.25">
      <c r="A129" s="222" t="s">
        <v>416</v>
      </c>
      <c r="B129" s="248" t="s">
        <v>432</v>
      </c>
      <c r="C129" s="620" t="s">
        <v>69</v>
      </c>
      <c r="D129" s="249"/>
      <c r="E129" s="134">
        <v>2671.5</v>
      </c>
      <c r="F129" s="250"/>
      <c r="G129" s="251"/>
      <c r="H129" s="249"/>
      <c r="I129" s="134">
        <v>2671.5</v>
      </c>
      <c r="J129" s="250"/>
      <c r="K129" s="252"/>
      <c r="L129" s="253"/>
      <c r="M129" s="134">
        <f>M120*S129</f>
        <v>4735.9514657778618</v>
      </c>
      <c r="N129" s="200"/>
      <c r="O129" s="176"/>
      <c r="P129" s="177"/>
      <c r="Q129" s="163">
        <f t="shared" si="1"/>
        <v>1.7727686564768339</v>
      </c>
      <c r="R129" s="420">
        <f>M129/R120</f>
        <v>0.49405391937928228</v>
      </c>
      <c r="S129" s="421">
        <v>0.23994617093856602</v>
      </c>
    </row>
    <row r="130" spans="1:19" ht="25.5" x14ac:dyDescent="0.25">
      <c r="A130" s="254" t="s">
        <v>417</v>
      </c>
      <c r="B130" s="248" t="s">
        <v>399</v>
      </c>
      <c r="C130" s="620"/>
      <c r="D130" s="249"/>
      <c r="E130" s="134">
        <v>260</v>
      </c>
      <c r="F130" s="250"/>
      <c r="G130" s="251"/>
      <c r="H130" s="249"/>
      <c r="I130" s="134">
        <v>260</v>
      </c>
      <c r="J130" s="250"/>
      <c r="K130" s="252"/>
      <c r="L130" s="253"/>
      <c r="M130" s="134">
        <f>M120*S130</f>
        <v>523.93818094075687</v>
      </c>
      <c r="N130" s="200"/>
      <c r="O130" s="176"/>
      <c r="P130" s="177"/>
      <c r="Q130" s="163">
        <f t="shared" si="1"/>
        <v>2.0151468497721416</v>
      </c>
      <c r="R130" s="420">
        <f>M130/R120</f>
        <v>5.465717156873709E-2</v>
      </c>
      <c r="S130" s="421">
        <v>2.6545238318780712E-2</v>
      </c>
    </row>
    <row r="131" spans="1:19" ht="55.5" customHeight="1" x14ac:dyDescent="0.25">
      <c r="A131" s="255" t="s">
        <v>418</v>
      </c>
      <c r="B131" s="256" t="s">
        <v>400</v>
      </c>
      <c r="C131" s="620"/>
      <c r="D131" s="257">
        <f>D132+D135+D136</f>
        <v>12825.182000000001</v>
      </c>
      <c r="E131" s="135">
        <f>E132+E135+E136</f>
        <v>1053.7640000000001</v>
      </c>
      <c r="F131" s="258"/>
      <c r="G131" s="259"/>
      <c r="H131" s="257">
        <f>H132+H135+H136</f>
        <v>12825.182000000001</v>
      </c>
      <c r="I131" s="135">
        <f>I132+I135+I136</f>
        <v>1053.7640000000001</v>
      </c>
      <c r="J131" s="258"/>
      <c r="K131" s="260"/>
      <c r="L131" s="257">
        <f>L132+L135+L136</f>
        <v>7659.415</v>
      </c>
      <c r="M131" s="135">
        <f>M132+M135+M136</f>
        <v>734.09099999999989</v>
      </c>
      <c r="N131" s="205"/>
      <c r="O131" s="206"/>
      <c r="P131" s="207"/>
      <c r="Q131" s="163">
        <f t="shared" si="1"/>
        <v>0.69663700790689354</v>
      </c>
    </row>
    <row r="132" spans="1:19" ht="114.75" x14ac:dyDescent="0.25">
      <c r="A132" s="255" t="s">
        <v>419</v>
      </c>
      <c r="B132" s="256" t="s">
        <v>433</v>
      </c>
      <c r="C132" s="620"/>
      <c r="D132" s="257">
        <f>D133+D134</f>
        <v>0</v>
      </c>
      <c r="E132" s="135">
        <f>E133+E134</f>
        <v>791.86400000000003</v>
      </c>
      <c r="F132" s="258"/>
      <c r="G132" s="259"/>
      <c r="H132" s="257">
        <f>H133+H134</f>
        <v>0</v>
      </c>
      <c r="I132" s="135">
        <f>I133+I134</f>
        <v>791.86400000000003</v>
      </c>
      <c r="J132" s="258"/>
      <c r="K132" s="260"/>
      <c r="L132" s="257">
        <f>L133+L134</f>
        <v>0</v>
      </c>
      <c r="M132" s="135">
        <f>M133+M134</f>
        <v>472.26099999999997</v>
      </c>
      <c r="N132" s="205"/>
      <c r="O132" s="206"/>
      <c r="P132" s="207"/>
      <c r="Q132" s="163">
        <f t="shared" si="1"/>
        <v>0.59639155208470129</v>
      </c>
    </row>
    <row r="133" spans="1:19" ht="153" x14ac:dyDescent="0.25">
      <c r="A133" s="254" t="s">
        <v>420</v>
      </c>
      <c r="B133" s="248" t="s">
        <v>434</v>
      </c>
      <c r="C133" s="620"/>
      <c r="D133" s="249"/>
      <c r="E133" s="134">
        <v>672.2</v>
      </c>
      <c r="F133" s="250"/>
      <c r="G133" s="251"/>
      <c r="H133" s="249"/>
      <c r="I133" s="134">
        <v>672.2</v>
      </c>
      <c r="J133" s="250"/>
      <c r="K133" s="252"/>
      <c r="L133" s="253">
        <v>0</v>
      </c>
      <c r="M133" s="136">
        <v>352.59699999999998</v>
      </c>
      <c r="N133" s="200"/>
      <c r="O133" s="176"/>
      <c r="P133" s="177"/>
      <c r="Q133" s="163">
        <f t="shared" si="1"/>
        <v>0.52454180303481102</v>
      </c>
    </row>
    <row r="134" spans="1:19" ht="178.5" x14ac:dyDescent="0.25">
      <c r="A134" s="254" t="s">
        <v>421</v>
      </c>
      <c r="B134" s="248" t="s">
        <v>435</v>
      </c>
      <c r="C134" s="620" t="s">
        <v>69</v>
      </c>
      <c r="D134" s="249"/>
      <c r="E134" s="134">
        <v>119.664</v>
      </c>
      <c r="F134" s="250"/>
      <c r="G134" s="251"/>
      <c r="H134" s="249"/>
      <c r="I134" s="134">
        <v>119.664</v>
      </c>
      <c r="J134" s="250"/>
      <c r="K134" s="252"/>
      <c r="L134" s="253"/>
      <c r="M134" s="134">
        <v>119.664</v>
      </c>
      <c r="N134" s="200"/>
      <c r="O134" s="176"/>
      <c r="P134" s="177"/>
      <c r="Q134" s="163">
        <f t="shared" si="1"/>
        <v>1</v>
      </c>
    </row>
    <row r="135" spans="1:19" ht="25.5" x14ac:dyDescent="0.25">
      <c r="A135" s="254" t="s">
        <v>422</v>
      </c>
      <c r="B135" s="261" t="s">
        <v>401</v>
      </c>
      <c r="C135" s="620"/>
      <c r="D135" s="249"/>
      <c r="E135" s="134">
        <v>261.89999999999998</v>
      </c>
      <c r="F135" s="250"/>
      <c r="G135" s="251"/>
      <c r="H135" s="249"/>
      <c r="I135" s="134">
        <v>261.89999999999998</v>
      </c>
      <c r="J135" s="250"/>
      <c r="K135" s="252"/>
      <c r="L135" s="253"/>
      <c r="M135" s="126">
        <v>261.83</v>
      </c>
      <c r="N135" s="200"/>
      <c r="O135" s="176"/>
      <c r="P135" s="177"/>
      <c r="Q135" s="163">
        <f t="shared" si="1"/>
        <v>0.99973272241313482</v>
      </c>
    </row>
    <row r="136" spans="1:19" ht="90" x14ac:dyDescent="0.25">
      <c r="A136" s="254" t="s">
        <v>423</v>
      </c>
      <c r="B136" s="248" t="s">
        <v>402</v>
      </c>
      <c r="C136" s="620"/>
      <c r="D136" s="249">
        <v>12825.182000000001</v>
      </c>
      <c r="E136" s="134">
        <v>0</v>
      </c>
      <c r="F136" s="250"/>
      <c r="G136" s="251"/>
      <c r="H136" s="249">
        <v>12825.182000000001</v>
      </c>
      <c r="I136" s="134">
        <v>0</v>
      </c>
      <c r="J136" s="143"/>
      <c r="K136" s="152"/>
      <c r="L136" s="150">
        <v>7659.415</v>
      </c>
      <c r="M136" s="126"/>
      <c r="N136" s="200"/>
      <c r="O136" s="176"/>
      <c r="P136" s="178" t="s">
        <v>478</v>
      </c>
      <c r="Q136" s="163">
        <f>L136/D136</f>
        <v>0.597216866006268</v>
      </c>
    </row>
    <row r="137" spans="1:19" ht="76.5" x14ac:dyDescent="0.25">
      <c r="A137" s="255" t="s">
        <v>424</v>
      </c>
      <c r="B137" s="256" t="s">
        <v>403</v>
      </c>
      <c r="C137" s="620"/>
      <c r="D137" s="201">
        <v>0</v>
      </c>
      <c r="E137" s="135"/>
      <c r="F137" s="258"/>
      <c r="G137" s="259"/>
      <c r="H137" s="201">
        <v>0</v>
      </c>
      <c r="I137" s="135"/>
      <c r="J137" s="258"/>
      <c r="K137" s="260"/>
      <c r="L137" s="262"/>
      <c r="M137" s="137"/>
      <c r="N137" s="205"/>
      <c r="O137" s="206"/>
      <c r="P137" s="207"/>
      <c r="Q137" s="163" t="e">
        <f t="shared" si="1"/>
        <v>#DIV/0!</v>
      </c>
    </row>
    <row r="138" spans="1:19" ht="63.75" x14ac:dyDescent="0.25">
      <c r="A138" s="254" t="s">
        <v>425</v>
      </c>
      <c r="B138" s="248" t="s">
        <v>436</v>
      </c>
      <c r="C138" s="620"/>
      <c r="D138" s="249"/>
      <c r="E138" s="134">
        <v>3616.5</v>
      </c>
      <c r="F138" s="250"/>
      <c r="G138" s="251"/>
      <c r="H138" s="249"/>
      <c r="I138" s="134">
        <v>3616.5</v>
      </c>
      <c r="J138" s="250"/>
      <c r="K138" s="252"/>
      <c r="L138" s="253"/>
      <c r="M138" s="136">
        <v>2399.8049999999998</v>
      </c>
      <c r="N138" s="200"/>
      <c r="O138" s="176"/>
      <c r="P138" s="177"/>
      <c r="Q138" s="163">
        <f t="shared" si="1"/>
        <v>0.66357113231024467</v>
      </c>
    </row>
    <row r="139" spans="1:19" ht="24.75" customHeight="1" x14ac:dyDescent="0.25">
      <c r="A139" s="255" t="s">
        <v>426</v>
      </c>
      <c r="B139" s="256" t="s">
        <v>404</v>
      </c>
      <c r="C139" s="620"/>
      <c r="D139" s="257">
        <f>D140+D141</f>
        <v>0</v>
      </c>
      <c r="E139" s="135">
        <f>E140+E141+E142</f>
        <v>221.8</v>
      </c>
      <c r="F139" s="258"/>
      <c r="G139" s="259"/>
      <c r="H139" s="257">
        <f>H140+H141</f>
        <v>0</v>
      </c>
      <c r="I139" s="135">
        <f>I140+I141+I142</f>
        <v>221.8</v>
      </c>
      <c r="J139" s="258"/>
      <c r="K139" s="260"/>
      <c r="L139" s="257">
        <f>L140+L141</f>
        <v>0</v>
      </c>
      <c r="M139" s="135">
        <f>M140+M141+M142</f>
        <v>21.75</v>
      </c>
      <c r="N139" s="205"/>
      <c r="O139" s="206"/>
      <c r="P139" s="207"/>
      <c r="Q139" s="163">
        <f t="shared" si="1"/>
        <v>9.8061316501352566E-2</v>
      </c>
    </row>
    <row r="140" spans="1:19" ht="25.5" x14ac:dyDescent="0.25">
      <c r="A140" s="254" t="s">
        <v>427</v>
      </c>
      <c r="B140" s="248" t="s">
        <v>405</v>
      </c>
      <c r="C140" s="620"/>
      <c r="D140" s="249"/>
      <c r="E140" s="134">
        <v>21.8</v>
      </c>
      <c r="F140" s="250"/>
      <c r="G140" s="251"/>
      <c r="H140" s="249"/>
      <c r="I140" s="134">
        <v>21.8</v>
      </c>
      <c r="J140" s="250"/>
      <c r="K140" s="252"/>
      <c r="L140" s="253"/>
      <c r="M140" s="136">
        <v>21.75</v>
      </c>
      <c r="N140" s="200"/>
      <c r="O140" s="176"/>
      <c r="P140" s="177"/>
      <c r="Q140" s="163">
        <f t="shared" si="1"/>
        <v>0.99770642201834858</v>
      </c>
    </row>
    <row r="141" spans="1:19" ht="38.25" x14ac:dyDescent="0.25">
      <c r="A141" s="254" t="s">
        <v>428</v>
      </c>
      <c r="B141" s="248" t="s">
        <v>406</v>
      </c>
      <c r="C141" s="620"/>
      <c r="D141" s="249"/>
      <c r="E141" s="134">
        <v>100</v>
      </c>
      <c r="F141" s="250"/>
      <c r="G141" s="251"/>
      <c r="H141" s="249"/>
      <c r="I141" s="134">
        <v>100</v>
      </c>
      <c r="J141" s="250"/>
      <c r="K141" s="252"/>
      <c r="L141" s="253"/>
      <c r="M141" s="136">
        <v>0</v>
      </c>
      <c r="N141" s="200"/>
      <c r="O141" s="176"/>
      <c r="P141" s="177"/>
      <c r="Q141" s="163">
        <f t="shared" ref="Q141:Q155" si="3">M141/E141</f>
        <v>0</v>
      </c>
    </row>
    <row r="142" spans="1:19" ht="140.25" x14ac:dyDescent="0.25">
      <c r="A142" s="254" t="s">
        <v>8</v>
      </c>
      <c r="B142" s="248" t="s">
        <v>9</v>
      </c>
      <c r="C142" s="620"/>
      <c r="D142" s="249"/>
      <c r="E142" s="134">
        <v>100</v>
      </c>
      <c r="F142" s="250"/>
      <c r="G142" s="251"/>
      <c r="H142" s="249"/>
      <c r="I142" s="134">
        <v>100</v>
      </c>
      <c r="J142" s="250"/>
      <c r="K142" s="252"/>
      <c r="L142" s="253"/>
      <c r="M142" s="136"/>
      <c r="N142" s="200"/>
      <c r="O142" s="176"/>
      <c r="P142" s="177"/>
      <c r="Q142" s="163"/>
    </row>
    <row r="143" spans="1:19" ht="102" x14ac:dyDescent="0.25">
      <c r="A143" s="254" t="s">
        <v>429</v>
      </c>
      <c r="B143" s="248" t="s">
        <v>407</v>
      </c>
      <c r="C143" s="620"/>
      <c r="D143" s="249"/>
      <c r="E143" s="134">
        <v>137489</v>
      </c>
      <c r="F143" s="250"/>
      <c r="G143" s="251"/>
      <c r="H143" s="249"/>
      <c r="I143" s="134">
        <v>137489</v>
      </c>
      <c r="J143" s="250"/>
      <c r="K143" s="252"/>
      <c r="L143" s="253"/>
      <c r="M143" s="136">
        <v>97595.716</v>
      </c>
      <c r="N143" s="200"/>
      <c r="O143" s="176"/>
      <c r="P143" s="177"/>
      <c r="Q143" s="163">
        <f t="shared" si="3"/>
        <v>0.70984381295958221</v>
      </c>
    </row>
    <row r="144" spans="1:19" ht="153.75" thickBot="1" x14ac:dyDescent="0.3">
      <c r="A144" s="263" t="s">
        <v>430</v>
      </c>
      <c r="B144" s="264" t="s">
        <v>471</v>
      </c>
      <c r="C144" s="265" t="s">
        <v>69</v>
      </c>
      <c r="D144" s="266">
        <v>192272.9</v>
      </c>
      <c r="E144" s="267"/>
      <c r="F144" s="268"/>
      <c r="G144" s="269"/>
      <c r="H144" s="266">
        <v>192272.9</v>
      </c>
      <c r="I144" s="267"/>
      <c r="J144" s="144"/>
      <c r="K144" s="183"/>
      <c r="L144" s="180">
        <v>140628.08799999999</v>
      </c>
      <c r="M144" s="128"/>
      <c r="N144" s="270"/>
      <c r="O144" s="271"/>
      <c r="P144" s="178" t="s">
        <v>478</v>
      </c>
      <c r="Q144" s="163">
        <f>L144/D144</f>
        <v>0.73139838219530673</v>
      </c>
    </row>
    <row r="145" spans="1:20" s="194" customFormat="1" ht="15.75" thickBot="1" x14ac:dyDescent="0.3">
      <c r="A145" s="187"/>
      <c r="B145" s="188" t="s">
        <v>166</v>
      </c>
      <c r="C145" s="235"/>
      <c r="D145" s="138">
        <f>D120+D131+D137+D138+D139+D143+D144</f>
        <v>205098.08199999999</v>
      </c>
      <c r="E145" s="138">
        <f>E120+E131+E137+E138+E139+E143+E144</f>
        <v>169633</v>
      </c>
      <c r="F145" s="272"/>
      <c r="G145" s="273"/>
      <c r="H145" s="138">
        <f>H120+H131+H137+H138+H139+H143+H144</f>
        <v>205098.08199999999</v>
      </c>
      <c r="I145" s="138">
        <f>I120+I131+I137+I138+I139+I143+I144</f>
        <v>169632.99900000001</v>
      </c>
      <c r="J145" s="190"/>
      <c r="K145" s="274"/>
      <c r="L145" s="138">
        <f>L120+L131+L137+L138+L139+L143+L144</f>
        <v>148287.503</v>
      </c>
      <c r="M145" s="138">
        <f>M120+M131+M137+M138+M139+M143+M144</f>
        <v>120488.92</v>
      </c>
      <c r="N145" s="275"/>
      <c r="O145" s="192"/>
      <c r="P145" s="193"/>
      <c r="Q145" s="163">
        <f t="shared" si="3"/>
        <v>0.71029174747837975</v>
      </c>
      <c r="S145" s="194">
        <v>382761.78200000001</v>
      </c>
      <c r="T145" s="195">
        <f>S145-D145-E145</f>
        <v>8030.7000000000116</v>
      </c>
    </row>
    <row r="146" spans="1:20" s="194" customFormat="1" ht="19.5" thickBot="1" x14ac:dyDescent="0.35">
      <c r="A146" s="614" t="s">
        <v>176</v>
      </c>
      <c r="B146" s="615"/>
      <c r="C146" s="615"/>
      <c r="D146" s="615"/>
      <c r="E146" s="615"/>
      <c r="F146" s="615"/>
      <c r="G146" s="615"/>
      <c r="H146" s="615"/>
      <c r="I146" s="615"/>
      <c r="J146" s="615"/>
      <c r="K146" s="615"/>
      <c r="L146" s="615"/>
      <c r="M146" s="615"/>
      <c r="N146" s="615"/>
      <c r="O146" s="615"/>
      <c r="P146" s="616"/>
      <c r="Q146" s="163"/>
    </row>
    <row r="147" spans="1:20" ht="38.25" customHeight="1" x14ac:dyDescent="0.25">
      <c r="A147" s="276" t="s">
        <v>198</v>
      </c>
      <c r="B147" s="277" t="s">
        <v>364</v>
      </c>
      <c r="C147" s="617" t="s">
        <v>69</v>
      </c>
      <c r="D147" s="278"/>
      <c r="E147" s="279">
        <v>431.4</v>
      </c>
      <c r="F147" s="197"/>
      <c r="G147" s="198"/>
      <c r="H147" s="278"/>
      <c r="I147" s="279">
        <v>431.4</v>
      </c>
      <c r="J147" s="197"/>
      <c r="K147" s="280"/>
      <c r="L147" s="281"/>
      <c r="M147" s="139">
        <v>238.46600000000001</v>
      </c>
      <c r="N147" s="197"/>
      <c r="O147" s="198"/>
      <c r="P147" s="199"/>
      <c r="Q147" s="163">
        <f t="shared" si="3"/>
        <v>0.55277236903106175</v>
      </c>
    </row>
    <row r="148" spans="1:20" ht="63.75" x14ac:dyDescent="0.25">
      <c r="A148" s="282" t="s">
        <v>365</v>
      </c>
      <c r="B148" s="283" t="s">
        <v>366</v>
      </c>
      <c r="C148" s="618"/>
      <c r="D148" s="284"/>
      <c r="E148" s="285">
        <v>194.7</v>
      </c>
      <c r="F148" s="270"/>
      <c r="G148" s="271"/>
      <c r="H148" s="284"/>
      <c r="I148" s="285">
        <v>194.7</v>
      </c>
      <c r="J148" s="270"/>
      <c r="K148" s="286"/>
      <c r="L148" s="287"/>
      <c r="M148" s="140">
        <v>0</v>
      </c>
      <c r="N148" s="270"/>
      <c r="O148" s="271"/>
      <c r="P148" s="233"/>
      <c r="Q148" s="163">
        <f>M148/E148</f>
        <v>0</v>
      </c>
    </row>
    <row r="149" spans="1:20" ht="128.25" thickBot="1" x14ac:dyDescent="0.3">
      <c r="A149" s="288" t="s">
        <v>71</v>
      </c>
      <c r="B149" s="122" t="s">
        <v>72</v>
      </c>
      <c r="C149" s="619"/>
      <c r="D149" s="284">
        <v>1772.6</v>
      </c>
      <c r="E149" s="285"/>
      <c r="F149" s="270"/>
      <c r="G149" s="271"/>
      <c r="H149" s="284">
        <v>1772.6</v>
      </c>
      <c r="I149" s="285"/>
      <c r="J149" s="270"/>
      <c r="K149" s="286"/>
      <c r="L149" s="284">
        <v>298.62299999999999</v>
      </c>
      <c r="M149" s="140">
        <v>0</v>
      </c>
      <c r="N149" s="270"/>
      <c r="O149" s="271"/>
      <c r="P149" s="233"/>
      <c r="Q149" s="163" t="e">
        <f t="shared" si="3"/>
        <v>#DIV/0!</v>
      </c>
    </row>
    <row r="150" spans="1:20" s="194" customFormat="1" ht="15.75" thickBot="1" x14ac:dyDescent="0.3">
      <c r="A150" s="187"/>
      <c r="B150" s="188" t="s">
        <v>166</v>
      </c>
      <c r="C150" s="235"/>
      <c r="D150" s="289">
        <f>D147+D149</f>
        <v>1772.6</v>
      </c>
      <c r="E150" s="141">
        <f>E147+E149+E148</f>
        <v>626.09999999999991</v>
      </c>
      <c r="F150" s="275"/>
      <c r="G150" s="192"/>
      <c r="H150" s="289">
        <f>H147+H149</f>
        <v>1772.6</v>
      </c>
      <c r="I150" s="141">
        <f>I147+I149+I148</f>
        <v>626.09999999999991</v>
      </c>
      <c r="J150" s="275"/>
      <c r="K150" s="290"/>
      <c r="L150" s="289">
        <f>L147+L149</f>
        <v>298.62299999999999</v>
      </c>
      <c r="M150" s="141">
        <f>M147+M149+M148</f>
        <v>238.46600000000001</v>
      </c>
      <c r="N150" s="275"/>
      <c r="O150" s="192"/>
      <c r="P150" s="193"/>
      <c r="Q150" s="163">
        <f t="shared" si="3"/>
        <v>0.380875259543204</v>
      </c>
    </row>
    <row r="151" spans="1:20" s="194" customFormat="1" ht="19.5" thickBot="1" x14ac:dyDescent="0.35">
      <c r="A151" s="614" t="s">
        <v>443</v>
      </c>
      <c r="B151" s="615"/>
      <c r="C151" s="615"/>
      <c r="D151" s="615"/>
      <c r="E151" s="615"/>
      <c r="F151" s="615"/>
      <c r="G151" s="615"/>
      <c r="H151" s="615"/>
      <c r="I151" s="615"/>
      <c r="J151" s="615"/>
      <c r="K151" s="615"/>
      <c r="L151" s="615"/>
      <c r="M151" s="615"/>
      <c r="N151" s="615"/>
      <c r="O151" s="615"/>
      <c r="P151" s="616"/>
      <c r="Q151" s="163"/>
      <c r="S151" s="194">
        <v>2348.6999999999998</v>
      </c>
      <c r="T151" s="291">
        <f>S151-D150-E150</f>
        <v>-50</v>
      </c>
    </row>
    <row r="152" spans="1:20" s="194" customFormat="1" ht="51" customHeight="1" x14ac:dyDescent="0.25">
      <c r="A152" s="292" t="s">
        <v>437</v>
      </c>
      <c r="B152" s="293" t="s">
        <v>438</v>
      </c>
      <c r="C152" s="617" t="s">
        <v>69</v>
      </c>
      <c r="D152" s="278"/>
      <c r="E152" s="294">
        <f>38930.4+142504.7</f>
        <v>181435.1</v>
      </c>
      <c r="F152" s="142"/>
      <c r="G152" s="186"/>
      <c r="H152" s="278"/>
      <c r="I152" s="294">
        <f>E152</f>
        <v>181435.1</v>
      </c>
      <c r="J152" s="142"/>
      <c r="K152" s="295"/>
      <c r="L152" s="196"/>
      <c r="M152" s="142">
        <f>12350.7+93225.87</f>
        <v>105576.56999999999</v>
      </c>
      <c r="N152" s="197"/>
      <c r="O152" s="198"/>
      <c r="P152" s="199"/>
      <c r="Q152" s="163">
        <f t="shared" si="3"/>
        <v>0.58189716322806329</v>
      </c>
    </row>
    <row r="153" spans="1:20" s="194" customFormat="1" ht="89.25" x14ac:dyDescent="0.25">
      <c r="A153" s="296" t="s">
        <v>439</v>
      </c>
      <c r="B153" s="297" t="s">
        <v>440</v>
      </c>
      <c r="C153" s="618"/>
      <c r="D153" s="298"/>
      <c r="E153" s="299">
        <v>0</v>
      </c>
      <c r="F153" s="143"/>
      <c r="G153" s="151"/>
      <c r="H153" s="298"/>
      <c r="I153" s="299">
        <v>0</v>
      </c>
      <c r="J153" s="143"/>
      <c r="K153" s="152"/>
      <c r="L153" s="150"/>
      <c r="M153" s="143">
        <v>0</v>
      </c>
      <c r="N153" s="200"/>
      <c r="O153" s="176"/>
      <c r="P153" s="177"/>
      <c r="Q153" s="163" t="e">
        <f t="shared" si="3"/>
        <v>#DIV/0!</v>
      </c>
    </row>
    <row r="154" spans="1:20" s="194" customFormat="1" ht="77.25" thickBot="1" x14ac:dyDescent="0.3">
      <c r="A154" s="300" t="s">
        <v>441</v>
      </c>
      <c r="B154" s="301" t="s">
        <v>473</v>
      </c>
      <c r="C154" s="619"/>
      <c r="D154" s="284"/>
      <c r="E154" s="302">
        <v>2500</v>
      </c>
      <c r="F154" s="144"/>
      <c r="G154" s="182"/>
      <c r="H154" s="284"/>
      <c r="I154" s="302">
        <v>2500</v>
      </c>
      <c r="J154" s="144"/>
      <c r="K154" s="183"/>
      <c r="L154" s="180"/>
      <c r="M154" s="144">
        <v>2495</v>
      </c>
      <c r="N154" s="270"/>
      <c r="O154" s="271"/>
      <c r="P154" s="233"/>
      <c r="Q154" s="163">
        <f t="shared" si="3"/>
        <v>0.998</v>
      </c>
    </row>
    <row r="155" spans="1:20" s="194" customFormat="1" ht="15.75" thickBot="1" x14ac:dyDescent="0.3">
      <c r="A155" s="187"/>
      <c r="B155" s="188" t="s">
        <v>166</v>
      </c>
      <c r="C155" s="189"/>
      <c r="D155" s="289">
        <f>D153+D154+D152</f>
        <v>0</v>
      </c>
      <c r="E155" s="145">
        <f>E153+E154+E152</f>
        <v>183935.1</v>
      </c>
      <c r="F155" s="275"/>
      <c r="G155" s="192"/>
      <c r="H155" s="289">
        <f>H153+H154+H152</f>
        <v>0</v>
      </c>
      <c r="I155" s="145">
        <f>I153+I154+I152</f>
        <v>183935.1</v>
      </c>
      <c r="J155" s="275"/>
      <c r="K155" s="290"/>
      <c r="L155" s="289">
        <f>L153+L154+L152</f>
        <v>0</v>
      </c>
      <c r="M155" s="145">
        <f>M153+M154+M152</f>
        <v>108071.56999999999</v>
      </c>
      <c r="N155" s="275"/>
      <c r="O155" s="192"/>
      <c r="P155" s="193"/>
      <c r="Q155" s="163">
        <f t="shared" si="3"/>
        <v>0.58755272919633061</v>
      </c>
    </row>
    <row r="156" spans="1:20" ht="15.75" thickBot="1" x14ac:dyDescent="0.3">
      <c r="A156" s="303"/>
      <c r="B156" s="304" t="s">
        <v>167</v>
      </c>
      <c r="C156" s="305"/>
      <c r="D156" s="306">
        <f>D155+D150+D145+D118+D91+D61</f>
        <v>1918973.3219999999</v>
      </c>
      <c r="E156" s="306">
        <f>E155+E150+E145+E118+E91+E61</f>
        <v>6645712.4999999981</v>
      </c>
      <c r="F156" s="307"/>
      <c r="G156" s="308"/>
      <c r="H156" s="306">
        <f>H155+H150+H145+H118+H91+H61</f>
        <v>1868973.3419999999</v>
      </c>
      <c r="I156" s="306">
        <f>I155+I150+I145+I118+I91+I61</f>
        <v>6645712.498999998</v>
      </c>
      <c r="J156" s="307"/>
      <c r="K156" s="309"/>
      <c r="L156" s="306">
        <f>L61+L91+L118+L145+L150+L155</f>
        <v>1367320.7789199997</v>
      </c>
      <c r="M156" s="146">
        <f>M61+M91+M118+M145+M150+M155</f>
        <v>5706343.9370000008</v>
      </c>
      <c r="N156" s="307"/>
      <c r="O156" s="308"/>
      <c r="P156" s="310"/>
      <c r="Q156" s="163">
        <f>M156/E156</f>
        <v>0.85865043620228865</v>
      </c>
      <c r="R156" s="218">
        <f>L156/D156</f>
        <v>0.71252724737983608</v>
      </c>
      <c r="S156" s="321">
        <f>H156-1866930.242</f>
        <v>2043.0999999998603</v>
      </c>
      <c r="T156" s="321">
        <f>2043.1-S156</f>
        <v>1.3960743672214448E-10</v>
      </c>
    </row>
    <row r="157" spans="1:20" x14ac:dyDescent="0.25">
      <c r="E157" s="311"/>
      <c r="I157" s="311"/>
      <c r="M157" s="147"/>
      <c r="T157" s="148" t="s">
        <v>18</v>
      </c>
    </row>
    <row r="158" spans="1:20" ht="15.75" customHeight="1" x14ac:dyDescent="0.25">
      <c r="A158" s="613" t="s">
        <v>467</v>
      </c>
      <c r="B158" s="613"/>
      <c r="C158" s="613"/>
      <c r="D158" s="613"/>
      <c r="E158" s="613"/>
      <c r="F158" s="613"/>
      <c r="G158" s="613"/>
      <c r="H158" s="613"/>
      <c r="I158" s="613"/>
      <c r="J158" s="613"/>
      <c r="K158" s="613"/>
      <c r="L158" s="613"/>
      <c r="M158" s="613"/>
      <c r="N158" s="613"/>
      <c r="O158" s="613"/>
      <c r="P158" s="613"/>
    </row>
    <row r="159" spans="1:20" ht="15.75" customHeight="1" x14ac:dyDescent="0.25">
      <c r="A159" s="613" t="s">
        <v>468</v>
      </c>
      <c r="B159" s="613"/>
      <c r="C159" s="613"/>
      <c r="D159" s="613"/>
      <c r="E159" s="613"/>
      <c r="F159" s="613"/>
      <c r="G159" s="613"/>
      <c r="H159" s="613"/>
      <c r="I159" s="613"/>
      <c r="J159" s="613"/>
      <c r="K159" s="613"/>
      <c r="L159" s="613"/>
      <c r="M159" s="613"/>
      <c r="N159" s="613"/>
      <c r="O159" s="613"/>
      <c r="P159" s="613"/>
    </row>
    <row r="160" spans="1:20" x14ac:dyDescent="0.25">
      <c r="D160" s="312">
        <f>D156+E156-E161</f>
        <v>8497293.4220000003</v>
      </c>
      <c r="E160" s="156">
        <v>6578320.0999999996</v>
      </c>
      <c r="H160" s="312">
        <f>H156+I156-I161</f>
        <v>8447293.4419999998</v>
      </c>
      <c r="I160" s="156">
        <v>6578320.0999999996</v>
      </c>
    </row>
    <row r="161" spans="4:13" x14ac:dyDescent="0.25">
      <c r="D161" s="155">
        <v>8563795.5</v>
      </c>
      <c r="E161" s="313">
        <f>E156-E160</f>
        <v>67392.39999999851</v>
      </c>
      <c r="H161" s="155">
        <v>8563795.5</v>
      </c>
      <c r="I161" s="313">
        <f>I156-I160</f>
        <v>67392.398999998346</v>
      </c>
    </row>
    <row r="162" spans="4:13" x14ac:dyDescent="0.25">
      <c r="D162" s="312">
        <f>D160-D161</f>
        <v>-66502.077999999747</v>
      </c>
      <c r="H162" s="312">
        <f>H160-H161</f>
        <v>-116502.05800000019</v>
      </c>
    </row>
    <row r="164" spans="4:13" x14ac:dyDescent="0.25">
      <c r="M164" s="321"/>
    </row>
    <row r="168" spans="4:13" x14ac:dyDescent="0.25">
      <c r="I168" s="322"/>
    </row>
    <row r="169" spans="4:13" x14ac:dyDescent="0.25">
      <c r="I169" s="322"/>
    </row>
  </sheetData>
  <mergeCells count="37">
    <mergeCell ref="B31:B32"/>
    <mergeCell ref="A31:A32"/>
    <mergeCell ref="C9:C19"/>
    <mergeCell ref="C20:C27"/>
    <mergeCell ref="B5:B6"/>
    <mergeCell ref="C5:C6"/>
    <mergeCell ref="C28:C30"/>
    <mergeCell ref="C80:C87"/>
    <mergeCell ref="C88:C89"/>
    <mergeCell ref="C70:C79"/>
    <mergeCell ref="C94:C102"/>
    <mergeCell ref="C108:C110"/>
    <mergeCell ref="A92:P92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C33:C39"/>
    <mergeCell ref="C40:C50"/>
    <mergeCell ref="C51:C57"/>
    <mergeCell ref="C63:C69"/>
    <mergeCell ref="A62:P62"/>
    <mergeCell ref="A159:P159"/>
    <mergeCell ref="A119:P119"/>
    <mergeCell ref="A146:P146"/>
    <mergeCell ref="C147:C149"/>
    <mergeCell ref="C129:C133"/>
    <mergeCell ref="C134:C143"/>
    <mergeCell ref="A158:P158"/>
    <mergeCell ref="A151:P151"/>
    <mergeCell ref="C152:C154"/>
    <mergeCell ref="C120:C128"/>
  </mergeCells>
  <phoneticPr fontId="38" type="noConversion"/>
  <pageMargins left="0" right="0" top="0.51" bottom="0.32" header="0.31496062992125984" footer="0.31496062992125984"/>
  <pageSetup paperSize="9" scale="72" fitToHeight="0" orientation="landscape" r:id="rId1"/>
  <rowBreaks count="1" manualBreakCount="1"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view="pageBreakPreview" topLeftCell="A10" zoomScale="110" zoomScaleNormal="100" zoomScaleSheetLayoutView="110" workbookViewId="0">
      <selection activeCell="E12" sqref="E12"/>
    </sheetView>
  </sheetViews>
  <sheetFormatPr defaultRowHeight="15" x14ac:dyDescent="0.25"/>
  <cols>
    <col min="1" max="1" width="9.7109375" customWidth="1"/>
    <col min="2" max="2" width="42.140625" customWidth="1"/>
    <col min="3" max="3" width="21.42578125" customWidth="1"/>
    <col min="7" max="7" width="36.28515625" customWidth="1"/>
  </cols>
  <sheetData>
    <row r="1" spans="1:7" x14ac:dyDescent="0.25">
      <c r="G1" s="106" t="s">
        <v>111</v>
      </c>
    </row>
    <row r="2" spans="1:7" ht="18.75" x14ac:dyDescent="0.3">
      <c r="A2" s="655" t="s">
        <v>110</v>
      </c>
      <c r="B2" s="655"/>
      <c r="C2" s="655"/>
      <c r="D2" s="655"/>
      <c r="E2" s="655"/>
      <c r="F2" s="655"/>
      <c r="G2" s="655"/>
    </row>
    <row r="3" spans="1:7" ht="18.75" x14ac:dyDescent="0.3">
      <c r="A3" s="655" t="s">
        <v>109</v>
      </c>
      <c r="B3" s="655"/>
      <c r="C3" s="655"/>
      <c r="D3" s="655"/>
      <c r="E3" s="655"/>
      <c r="F3" s="655"/>
      <c r="G3" s="655"/>
    </row>
    <row r="4" spans="1:7" ht="18.75" x14ac:dyDescent="0.3">
      <c r="A4" s="1"/>
      <c r="B4" s="1"/>
      <c r="C4" s="105"/>
      <c r="D4" s="3"/>
      <c r="E4" s="3"/>
      <c r="F4" s="104"/>
      <c r="G4" s="103"/>
    </row>
    <row r="5" spans="1:7" ht="102" x14ac:dyDescent="0.25">
      <c r="A5" s="65" t="s">
        <v>156</v>
      </c>
      <c r="B5" s="65" t="s">
        <v>157</v>
      </c>
      <c r="C5" s="65" t="s">
        <v>108</v>
      </c>
      <c r="D5" s="65" t="s">
        <v>107</v>
      </c>
      <c r="E5" s="65" t="s">
        <v>106</v>
      </c>
      <c r="F5" s="65" t="s">
        <v>105</v>
      </c>
      <c r="G5" s="65" t="s">
        <v>104</v>
      </c>
    </row>
    <row r="6" spans="1:7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</row>
    <row r="7" spans="1:7" x14ac:dyDescent="0.25">
      <c r="A7" s="656" t="s">
        <v>165</v>
      </c>
      <c r="B7" s="656"/>
      <c r="C7" s="656"/>
      <c r="D7" s="656"/>
      <c r="E7" s="656"/>
      <c r="F7" s="656"/>
      <c r="G7" s="656"/>
    </row>
    <row r="8" spans="1:7" ht="25.5" x14ac:dyDescent="0.25">
      <c r="A8" s="28" t="s">
        <v>188</v>
      </c>
      <c r="B8" s="29" t="s">
        <v>199</v>
      </c>
      <c r="C8" s="98"/>
      <c r="D8" s="98"/>
      <c r="E8" s="98"/>
      <c r="F8" s="98"/>
      <c r="G8" s="98"/>
    </row>
    <row r="9" spans="1:7" ht="25.5" x14ac:dyDescent="0.25">
      <c r="A9" s="28" t="s">
        <v>189</v>
      </c>
      <c r="B9" s="29" t="s">
        <v>200</v>
      </c>
      <c r="C9" s="98"/>
      <c r="D9" s="98"/>
      <c r="E9" s="98"/>
      <c r="F9" s="98"/>
      <c r="G9" s="98"/>
    </row>
    <row r="10" spans="1:7" ht="26.25" thickBot="1" x14ac:dyDescent="0.3">
      <c r="A10" s="32" t="s">
        <v>190</v>
      </c>
      <c r="B10" s="33" t="s">
        <v>201</v>
      </c>
      <c r="C10" s="102"/>
      <c r="D10" s="102"/>
      <c r="E10" s="102"/>
      <c r="F10" s="101"/>
      <c r="G10" s="99"/>
    </row>
    <row r="11" spans="1:7" ht="217.5" thickBot="1" x14ac:dyDescent="0.3">
      <c r="A11" s="28" t="s">
        <v>251</v>
      </c>
      <c r="B11" s="29" t="s">
        <v>202</v>
      </c>
      <c r="C11" s="4" t="s">
        <v>451</v>
      </c>
      <c r="D11" s="116">
        <v>0.47</v>
      </c>
      <c r="E11" s="117">
        <v>0.47</v>
      </c>
      <c r="F11" s="81">
        <f>E11/D11</f>
        <v>1</v>
      </c>
      <c r="G11" s="98"/>
    </row>
    <row r="12" spans="1:7" ht="179.25" thickBot="1" x14ac:dyDescent="0.3">
      <c r="A12" s="28"/>
      <c r="B12" s="29">
        <v>0</v>
      </c>
      <c r="C12" s="4" t="s">
        <v>452</v>
      </c>
      <c r="D12" s="118">
        <v>0.05</v>
      </c>
      <c r="E12" s="117">
        <v>0.05</v>
      </c>
      <c r="F12" s="81">
        <f>E12/D12</f>
        <v>1</v>
      </c>
      <c r="G12" s="98"/>
    </row>
    <row r="13" spans="1:7" x14ac:dyDescent="0.25">
      <c r="A13" s="28" t="s">
        <v>252</v>
      </c>
      <c r="B13" s="29">
        <v>0</v>
      </c>
      <c r="C13" s="100"/>
      <c r="D13" s="100"/>
      <c r="E13" s="100"/>
      <c r="F13" s="100"/>
      <c r="G13" s="98"/>
    </row>
    <row r="14" spans="1:7" ht="38.25" x14ac:dyDescent="0.25">
      <c r="A14" s="28" t="s">
        <v>191</v>
      </c>
      <c r="B14" s="29" t="s">
        <v>305</v>
      </c>
      <c r="C14" s="98"/>
      <c r="D14" s="98"/>
      <c r="E14" s="98"/>
      <c r="F14" s="98"/>
      <c r="G14" s="98"/>
    </row>
    <row r="15" spans="1:7" ht="25.5" x14ac:dyDescent="0.25">
      <c r="A15" s="32" t="s">
        <v>192</v>
      </c>
      <c r="B15" s="33" t="s">
        <v>193</v>
      </c>
      <c r="C15" s="99"/>
      <c r="D15" s="99"/>
      <c r="E15" s="99"/>
      <c r="F15" s="98"/>
      <c r="G15" s="98"/>
    </row>
    <row r="16" spans="1:7" ht="25.5" x14ac:dyDescent="0.25">
      <c r="A16" s="28" t="s">
        <v>253</v>
      </c>
      <c r="B16" s="29" t="s">
        <v>203</v>
      </c>
      <c r="C16" s="74"/>
      <c r="D16" s="20"/>
      <c r="E16" s="20"/>
      <c r="F16" s="20"/>
      <c r="G16" s="74"/>
    </row>
    <row r="17" spans="1:7" ht="25.5" x14ac:dyDescent="0.25">
      <c r="A17" s="28" t="s">
        <v>254</v>
      </c>
      <c r="B17" s="29" t="s">
        <v>204</v>
      </c>
      <c r="C17" s="74"/>
      <c r="D17" s="20"/>
      <c r="E17" s="20"/>
      <c r="F17" s="20"/>
      <c r="G17" s="74"/>
    </row>
    <row r="18" spans="1:7" ht="38.25" x14ac:dyDescent="0.25">
      <c r="A18" s="28" t="s">
        <v>255</v>
      </c>
      <c r="B18" s="29" t="s">
        <v>205</v>
      </c>
      <c r="C18" s="74"/>
      <c r="D18" s="20"/>
      <c r="E18" s="20"/>
      <c r="F18" s="20"/>
      <c r="G18" s="74"/>
    </row>
    <row r="19" spans="1:7" ht="25.5" x14ac:dyDescent="0.25">
      <c r="A19" s="28" t="s">
        <v>256</v>
      </c>
      <c r="B19" s="29" t="s">
        <v>306</v>
      </c>
      <c r="C19" s="74"/>
      <c r="D19" s="20"/>
      <c r="E19" s="20"/>
      <c r="F19" s="20"/>
      <c r="G19" s="74"/>
    </row>
    <row r="20" spans="1:7" ht="25.5" x14ac:dyDescent="0.25">
      <c r="A20" s="28" t="s">
        <v>257</v>
      </c>
      <c r="B20" s="29" t="s">
        <v>206</v>
      </c>
      <c r="C20" s="74"/>
      <c r="D20" s="20"/>
      <c r="E20" s="20"/>
      <c r="F20" s="20"/>
      <c r="G20" s="74"/>
    </row>
    <row r="21" spans="1:7" ht="38.25" x14ac:dyDescent="0.25">
      <c r="A21" s="28" t="s">
        <v>258</v>
      </c>
      <c r="B21" s="29" t="s">
        <v>207</v>
      </c>
      <c r="C21" s="74"/>
      <c r="D21" s="20"/>
      <c r="E21" s="20"/>
      <c r="F21" s="20"/>
      <c r="G21" s="74"/>
    </row>
    <row r="22" spans="1:7" ht="25.5" x14ac:dyDescent="0.25">
      <c r="A22" s="28" t="s">
        <v>259</v>
      </c>
      <c r="B22" s="29" t="s">
        <v>208</v>
      </c>
      <c r="C22" s="74"/>
      <c r="D22" s="20"/>
      <c r="E22" s="20"/>
      <c r="F22" s="20"/>
      <c r="G22" s="74"/>
    </row>
    <row r="23" spans="1:7" ht="178.5" x14ac:dyDescent="0.25">
      <c r="A23" s="28" t="s">
        <v>260</v>
      </c>
      <c r="B23" s="29" t="s">
        <v>209</v>
      </c>
      <c r="C23" s="74"/>
      <c r="D23" s="20"/>
      <c r="E23" s="20"/>
      <c r="F23" s="20"/>
      <c r="G23" s="74"/>
    </row>
    <row r="24" spans="1:7" ht="63.75" x14ac:dyDescent="0.25">
      <c r="A24" s="28" t="s">
        <v>261</v>
      </c>
      <c r="B24" s="29" t="s">
        <v>210</v>
      </c>
      <c r="C24" s="74"/>
      <c r="D24" s="20"/>
      <c r="E24" s="20"/>
      <c r="F24" s="20"/>
      <c r="G24" s="74"/>
    </row>
    <row r="25" spans="1:7" ht="38.25" x14ac:dyDescent="0.25">
      <c r="A25" s="28" t="s">
        <v>262</v>
      </c>
      <c r="B25" s="29" t="s">
        <v>211</v>
      </c>
      <c r="C25" s="74"/>
      <c r="D25" s="20"/>
      <c r="E25" s="20"/>
      <c r="F25" s="20"/>
      <c r="G25" s="74"/>
    </row>
    <row r="26" spans="1:7" ht="38.25" x14ac:dyDescent="0.25">
      <c r="A26" s="28" t="s">
        <v>263</v>
      </c>
      <c r="B26" s="29" t="s">
        <v>212</v>
      </c>
      <c r="C26" s="74"/>
      <c r="D26" s="20"/>
      <c r="E26" s="20"/>
      <c r="F26" s="20"/>
      <c r="G26" s="74"/>
    </row>
    <row r="27" spans="1:7" ht="38.25" x14ac:dyDescent="0.25">
      <c r="A27" s="28" t="s">
        <v>264</v>
      </c>
      <c r="B27" s="29" t="s">
        <v>213</v>
      </c>
      <c r="C27" s="74"/>
      <c r="D27" s="20"/>
      <c r="E27" s="20"/>
      <c r="F27" s="20"/>
      <c r="G27" s="74"/>
    </row>
    <row r="28" spans="1:7" ht="165.75" x14ac:dyDescent="0.25">
      <c r="A28" s="28" t="s">
        <v>265</v>
      </c>
      <c r="B28" s="29" t="s">
        <v>307</v>
      </c>
      <c r="C28" s="74"/>
      <c r="D28" s="20"/>
      <c r="E28" s="20"/>
      <c r="F28" s="20"/>
      <c r="G28" s="74"/>
    </row>
    <row r="29" spans="1:7" ht="51" x14ac:dyDescent="0.25">
      <c r="A29" s="28" t="s">
        <v>266</v>
      </c>
      <c r="B29" s="29" t="s">
        <v>214</v>
      </c>
      <c r="C29" s="74"/>
      <c r="D29" s="20"/>
      <c r="E29" s="20"/>
      <c r="F29" s="20"/>
      <c r="G29" s="74"/>
    </row>
    <row r="30" spans="1:7" ht="38.25" x14ac:dyDescent="0.25">
      <c r="A30" s="28" t="s">
        <v>267</v>
      </c>
      <c r="B30" s="29" t="s">
        <v>215</v>
      </c>
      <c r="C30" s="74"/>
      <c r="D30" s="20"/>
      <c r="E30" s="20"/>
      <c r="F30" s="20"/>
      <c r="G30" s="74"/>
    </row>
    <row r="31" spans="1:7" x14ac:dyDescent="0.25">
      <c r="A31" s="28" t="s">
        <v>268</v>
      </c>
      <c r="B31" s="29" t="s">
        <v>168</v>
      </c>
      <c r="C31" s="74"/>
      <c r="D31" s="20"/>
      <c r="E31" s="20"/>
      <c r="F31" s="20"/>
      <c r="G31" s="74"/>
    </row>
    <row r="32" spans="1:7" ht="25.5" x14ac:dyDescent="0.25">
      <c r="A32" s="28" t="s">
        <v>269</v>
      </c>
      <c r="B32" s="29" t="s">
        <v>308</v>
      </c>
      <c r="C32" s="74"/>
      <c r="D32" s="20"/>
      <c r="E32" s="20"/>
      <c r="F32" s="20"/>
      <c r="G32" s="74"/>
    </row>
    <row r="33" spans="1:7" ht="25.5" x14ac:dyDescent="0.25">
      <c r="A33" s="28" t="s">
        <v>270</v>
      </c>
      <c r="B33" s="29" t="s">
        <v>216</v>
      </c>
      <c r="C33" s="74"/>
      <c r="D33" s="20"/>
      <c r="E33" s="20"/>
      <c r="F33" s="20"/>
      <c r="G33" s="74"/>
    </row>
    <row r="34" spans="1:7" ht="38.25" x14ac:dyDescent="0.25">
      <c r="A34" s="28" t="s">
        <v>271</v>
      </c>
      <c r="B34" s="29" t="s">
        <v>217</v>
      </c>
      <c r="C34" s="74"/>
      <c r="D34" s="20"/>
      <c r="E34" s="20"/>
      <c r="F34" s="20"/>
      <c r="G34" s="74"/>
    </row>
    <row r="35" spans="1:7" ht="25.5" x14ac:dyDescent="0.25">
      <c r="A35" s="28" t="s">
        <v>272</v>
      </c>
      <c r="B35" s="29" t="s">
        <v>218</v>
      </c>
      <c r="C35" s="74"/>
      <c r="D35" s="20"/>
      <c r="E35" s="20"/>
      <c r="F35" s="20"/>
      <c r="G35" s="74"/>
    </row>
    <row r="36" spans="1:7" ht="38.25" x14ac:dyDescent="0.25">
      <c r="A36" s="28" t="s">
        <v>273</v>
      </c>
      <c r="B36" s="29" t="s">
        <v>219</v>
      </c>
      <c r="C36" s="74"/>
      <c r="D36" s="20"/>
      <c r="E36" s="20"/>
      <c r="F36" s="20"/>
      <c r="G36" s="74"/>
    </row>
    <row r="37" spans="1:7" ht="51" x14ac:dyDescent="0.25">
      <c r="A37" s="28" t="s">
        <v>274</v>
      </c>
      <c r="B37" s="29" t="s">
        <v>220</v>
      </c>
      <c r="C37" s="74"/>
      <c r="D37" s="20"/>
      <c r="E37" s="20"/>
      <c r="F37" s="20"/>
      <c r="G37" s="74"/>
    </row>
    <row r="38" spans="1:7" ht="25.5" x14ac:dyDescent="0.25">
      <c r="A38" s="28" t="s">
        <v>275</v>
      </c>
      <c r="B38" s="29" t="s">
        <v>221</v>
      </c>
      <c r="C38" s="74"/>
      <c r="D38" s="20"/>
      <c r="E38" s="20"/>
      <c r="F38" s="20"/>
      <c r="G38" s="74"/>
    </row>
    <row r="39" spans="1:7" ht="51" x14ac:dyDescent="0.25">
      <c r="A39" s="28" t="s">
        <v>276</v>
      </c>
      <c r="B39" s="29" t="s">
        <v>169</v>
      </c>
      <c r="C39" s="74"/>
      <c r="D39" s="20"/>
      <c r="E39" s="20"/>
      <c r="F39" s="20"/>
      <c r="G39" s="74"/>
    </row>
    <row r="40" spans="1:7" ht="38.25" x14ac:dyDescent="0.25">
      <c r="A40" s="28" t="s">
        <v>277</v>
      </c>
      <c r="B40" s="29" t="s">
        <v>222</v>
      </c>
      <c r="C40" s="74"/>
      <c r="D40" s="20"/>
      <c r="E40" s="20"/>
      <c r="F40" s="20"/>
      <c r="G40" s="74"/>
    </row>
    <row r="41" spans="1:7" ht="38.25" x14ac:dyDescent="0.25">
      <c r="A41" s="28" t="s">
        <v>278</v>
      </c>
      <c r="B41" s="29" t="s">
        <v>223</v>
      </c>
      <c r="C41" s="74"/>
      <c r="D41" s="20"/>
      <c r="E41" s="20"/>
      <c r="F41" s="20"/>
      <c r="G41" s="74"/>
    </row>
    <row r="42" spans="1:7" ht="25.5" x14ac:dyDescent="0.25">
      <c r="A42" s="28" t="s">
        <v>279</v>
      </c>
      <c r="B42" s="29" t="s">
        <v>224</v>
      </c>
      <c r="C42" s="74"/>
      <c r="D42" s="20"/>
      <c r="E42" s="20"/>
      <c r="F42" s="20"/>
      <c r="G42" s="74"/>
    </row>
    <row r="43" spans="1:7" ht="89.25" x14ac:dyDescent="0.25">
      <c r="A43" s="28" t="s">
        <v>280</v>
      </c>
      <c r="B43" s="29" t="s">
        <v>225</v>
      </c>
      <c r="C43" s="74"/>
      <c r="D43" s="20"/>
      <c r="E43" s="20"/>
      <c r="F43" s="20"/>
      <c r="G43" s="74"/>
    </row>
    <row r="44" spans="1:7" ht="25.5" x14ac:dyDescent="0.25">
      <c r="A44" s="28" t="s">
        <v>281</v>
      </c>
      <c r="B44" s="29" t="s">
        <v>226</v>
      </c>
      <c r="C44" s="74"/>
      <c r="D44" s="20"/>
      <c r="E44" s="20"/>
      <c r="F44" s="20"/>
      <c r="G44" s="74"/>
    </row>
    <row r="45" spans="1:7" ht="38.25" x14ac:dyDescent="0.25">
      <c r="A45" s="28" t="s">
        <v>282</v>
      </c>
      <c r="B45" s="29" t="s">
        <v>170</v>
      </c>
      <c r="C45" s="74"/>
      <c r="D45" s="20"/>
      <c r="E45" s="20"/>
      <c r="F45" s="20"/>
      <c r="G45" s="74"/>
    </row>
    <row r="46" spans="1:7" ht="76.5" x14ac:dyDescent="0.25">
      <c r="A46" s="28" t="s">
        <v>309</v>
      </c>
      <c r="B46" s="29" t="s">
        <v>310</v>
      </c>
      <c r="C46" s="74"/>
      <c r="D46" s="20"/>
      <c r="E46" s="20"/>
      <c r="F46" s="20"/>
      <c r="G46" s="74"/>
    </row>
    <row r="47" spans="1:7" ht="51" x14ac:dyDescent="0.25">
      <c r="A47" s="28" t="s">
        <v>311</v>
      </c>
      <c r="B47" s="29" t="s">
        <v>312</v>
      </c>
      <c r="C47" s="74"/>
      <c r="D47" s="20"/>
      <c r="E47" s="20"/>
      <c r="F47" s="20"/>
      <c r="G47" s="74"/>
    </row>
    <row r="48" spans="1:7" ht="38.25" x14ac:dyDescent="0.25">
      <c r="A48" s="28" t="s">
        <v>313</v>
      </c>
      <c r="B48" s="29" t="s">
        <v>227</v>
      </c>
      <c r="C48" s="74"/>
      <c r="D48" s="20"/>
      <c r="E48" s="20"/>
      <c r="F48" s="20"/>
      <c r="G48" s="74"/>
    </row>
    <row r="49" spans="1:7" ht="63.75" x14ac:dyDescent="0.25">
      <c r="A49" s="28" t="s">
        <v>314</v>
      </c>
      <c r="B49" s="29" t="s">
        <v>315</v>
      </c>
      <c r="C49" s="74"/>
      <c r="D49" s="20"/>
      <c r="E49" s="20"/>
      <c r="F49" s="20"/>
      <c r="G49" s="74"/>
    </row>
    <row r="50" spans="1:7" ht="89.25" x14ac:dyDescent="0.25">
      <c r="A50" s="28" t="s">
        <v>316</v>
      </c>
      <c r="B50" s="29" t="s">
        <v>317</v>
      </c>
      <c r="C50" s="74"/>
      <c r="D50" s="20"/>
      <c r="E50" s="20"/>
      <c r="F50" s="20"/>
      <c r="G50" s="74"/>
    </row>
    <row r="51" spans="1:7" ht="38.25" x14ac:dyDescent="0.25">
      <c r="A51" s="28" t="s">
        <v>318</v>
      </c>
      <c r="B51" s="29" t="s">
        <v>319</v>
      </c>
      <c r="C51" s="74"/>
      <c r="D51" s="20"/>
      <c r="E51" s="20"/>
      <c r="F51" s="20"/>
      <c r="G51" s="74"/>
    </row>
    <row r="52" spans="1:7" ht="25.5" x14ac:dyDescent="0.25">
      <c r="A52" s="28" t="s">
        <v>320</v>
      </c>
      <c r="B52" s="29" t="s">
        <v>228</v>
      </c>
      <c r="C52" s="74"/>
      <c r="D52" s="20"/>
      <c r="E52" s="20"/>
      <c r="F52" s="20"/>
      <c r="G52" s="74"/>
    </row>
    <row r="53" spans="1:7" ht="38.25" x14ac:dyDescent="0.25">
      <c r="A53" s="28" t="s">
        <v>321</v>
      </c>
      <c r="B53" s="29" t="s">
        <v>229</v>
      </c>
      <c r="C53" s="74"/>
      <c r="D53" s="20"/>
      <c r="E53" s="20"/>
      <c r="F53" s="20"/>
      <c r="G53" s="74"/>
    </row>
    <row r="54" spans="1:7" ht="38.25" x14ac:dyDescent="0.25">
      <c r="A54" s="28" t="s">
        <v>601</v>
      </c>
      <c r="B54" s="29" t="s">
        <v>230</v>
      </c>
      <c r="C54" s="74"/>
      <c r="D54" s="20"/>
      <c r="E54" s="20"/>
      <c r="F54" s="20"/>
      <c r="G54" s="74"/>
    </row>
    <row r="55" spans="1:7" ht="77.25" x14ac:dyDescent="0.25">
      <c r="A55" s="28" t="s">
        <v>323</v>
      </c>
      <c r="B55" s="29" t="s">
        <v>231</v>
      </c>
      <c r="C55" s="74" t="s">
        <v>153</v>
      </c>
      <c r="D55" s="20">
        <v>67</v>
      </c>
      <c r="E55" s="20">
        <v>67</v>
      </c>
      <c r="F55" s="81">
        <f>E55/D55</f>
        <v>1</v>
      </c>
      <c r="G55" s="74"/>
    </row>
    <row r="56" spans="1:7" ht="63.75" x14ac:dyDescent="0.25">
      <c r="A56" s="56" t="s">
        <v>324</v>
      </c>
      <c r="B56" s="62" t="s">
        <v>325</v>
      </c>
      <c r="C56" s="95"/>
      <c r="D56" s="54"/>
      <c r="E56" s="54"/>
      <c r="F56" s="54"/>
      <c r="G56" s="95"/>
    </row>
    <row r="57" spans="1:7" ht="120" x14ac:dyDescent="0.25">
      <c r="A57" s="56"/>
      <c r="B57" s="62"/>
      <c r="C57" s="97" t="s">
        <v>103</v>
      </c>
      <c r="D57" s="54">
        <v>97.8</v>
      </c>
      <c r="E57" s="54">
        <v>97.8</v>
      </c>
      <c r="F57" s="96">
        <v>1</v>
      </c>
      <c r="G57" s="95"/>
    </row>
    <row r="58" spans="1:7" x14ac:dyDescent="0.25">
      <c r="A58" s="6"/>
      <c r="B58" s="69" t="s">
        <v>166</v>
      </c>
      <c r="C58" s="66"/>
      <c r="D58" s="67"/>
      <c r="E58" s="67"/>
      <c r="F58" s="67"/>
      <c r="G58" s="66"/>
    </row>
    <row r="59" spans="1:7" x14ac:dyDescent="0.25">
      <c r="A59" s="654" t="s">
        <v>171</v>
      </c>
      <c r="B59" s="654"/>
      <c r="C59" s="654"/>
      <c r="D59" s="654"/>
      <c r="E59" s="654"/>
      <c r="F59" s="654"/>
      <c r="G59" s="654"/>
    </row>
    <row r="60" spans="1:7" ht="25.5" x14ac:dyDescent="0.25">
      <c r="A60" s="28" t="s">
        <v>326</v>
      </c>
      <c r="B60" s="29" t="s">
        <v>232</v>
      </c>
      <c r="C60" s="74"/>
      <c r="D60" s="20"/>
      <c r="E60" s="20"/>
      <c r="F60" s="20"/>
      <c r="G60" s="74"/>
    </row>
    <row r="61" spans="1:7" ht="51" x14ac:dyDescent="0.25">
      <c r="A61" s="28" t="s">
        <v>327</v>
      </c>
      <c r="B61" s="29" t="s">
        <v>233</v>
      </c>
      <c r="C61" s="657" t="s">
        <v>102</v>
      </c>
      <c r="D61" s="25"/>
      <c r="E61" s="25"/>
      <c r="F61" s="25"/>
      <c r="G61" s="94"/>
    </row>
    <row r="62" spans="1:7" ht="51" x14ac:dyDescent="0.25">
      <c r="A62" s="28" t="s">
        <v>328</v>
      </c>
      <c r="B62" s="29" t="s">
        <v>329</v>
      </c>
      <c r="C62" s="658"/>
      <c r="D62" s="93"/>
      <c r="E62" s="93"/>
      <c r="F62" s="93"/>
      <c r="G62" s="92"/>
    </row>
    <row r="63" spans="1:7" ht="76.5" x14ac:dyDescent="0.25">
      <c r="A63" s="28" t="s">
        <v>330</v>
      </c>
      <c r="B63" s="29" t="s">
        <v>234</v>
      </c>
      <c r="C63" s="658"/>
      <c r="D63" s="93"/>
      <c r="E63" s="93"/>
      <c r="F63" s="93"/>
      <c r="G63" s="92"/>
    </row>
    <row r="64" spans="1:7" s="434" customFormat="1" ht="127.5" x14ac:dyDescent="0.25">
      <c r="A64" s="530" t="s">
        <v>331</v>
      </c>
      <c r="B64" s="531" t="s">
        <v>332</v>
      </c>
      <c r="C64" s="658"/>
      <c r="D64" s="597">
        <v>0.81499999999999995</v>
      </c>
      <c r="E64" s="598">
        <v>0.83</v>
      </c>
      <c r="F64" s="599">
        <v>1</v>
      </c>
      <c r="G64" s="479" t="s">
        <v>149</v>
      </c>
    </row>
    <row r="65" spans="1:7" ht="51" x14ac:dyDescent="0.25">
      <c r="A65" s="28" t="s">
        <v>333</v>
      </c>
      <c r="B65" s="29" t="s">
        <v>235</v>
      </c>
      <c r="C65" s="658"/>
      <c r="D65" s="93"/>
      <c r="E65" s="93"/>
      <c r="F65" s="93"/>
      <c r="G65" s="92"/>
    </row>
    <row r="66" spans="1:7" ht="25.5" x14ac:dyDescent="0.25">
      <c r="A66" s="28" t="s">
        <v>334</v>
      </c>
      <c r="B66" s="29" t="s">
        <v>236</v>
      </c>
      <c r="C66" s="658"/>
      <c r="D66" s="93"/>
      <c r="E66" s="93"/>
      <c r="F66" s="93"/>
      <c r="G66" s="92"/>
    </row>
    <row r="67" spans="1:7" ht="51" x14ac:dyDescent="0.25">
      <c r="A67" s="28" t="s">
        <v>335</v>
      </c>
      <c r="B67" s="29" t="s">
        <v>336</v>
      </c>
      <c r="C67" s="658"/>
      <c r="D67" s="93"/>
      <c r="E67" s="93"/>
      <c r="F67" s="93"/>
      <c r="G67" s="92"/>
    </row>
    <row r="68" spans="1:7" ht="89.25" x14ac:dyDescent="0.25">
      <c r="A68" s="28" t="s">
        <v>337</v>
      </c>
      <c r="B68" s="29" t="s">
        <v>338</v>
      </c>
      <c r="C68" s="658"/>
      <c r="D68" s="91"/>
      <c r="E68" s="91"/>
      <c r="F68" s="91"/>
      <c r="G68" s="90"/>
    </row>
    <row r="69" spans="1:7" ht="25.5" x14ac:dyDescent="0.25">
      <c r="A69" s="32" t="s">
        <v>339</v>
      </c>
      <c r="B69" s="33" t="s">
        <v>194</v>
      </c>
      <c r="C69" s="647" t="s">
        <v>488</v>
      </c>
      <c r="D69" s="67"/>
      <c r="E69" s="67"/>
      <c r="F69" s="67"/>
      <c r="G69" s="66"/>
    </row>
    <row r="70" spans="1:7" ht="25.5" x14ac:dyDescent="0.25">
      <c r="A70" s="28" t="s">
        <v>340</v>
      </c>
      <c r="B70" s="29" t="s">
        <v>237</v>
      </c>
      <c r="C70" s="648"/>
      <c r="D70" s="20"/>
      <c r="E70" s="20"/>
      <c r="F70" s="20"/>
      <c r="G70" s="74"/>
    </row>
    <row r="71" spans="1:7" ht="89.25" x14ac:dyDescent="0.25">
      <c r="A71" s="28" t="s">
        <v>341</v>
      </c>
      <c r="B71" s="29" t="s">
        <v>238</v>
      </c>
      <c r="C71" s="648"/>
      <c r="D71" s="20"/>
      <c r="E71" s="20"/>
      <c r="F71" s="20"/>
      <c r="G71" s="74"/>
    </row>
    <row r="72" spans="1:7" ht="25.5" x14ac:dyDescent="0.25">
      <c r="A72" s="28" t="s">
        <v>342</v>
      </c>
      <c r="B72" s="29" t="s">
        <v>239</v>
      </c>
      <c r="C72" s="648"/>
      <c r="D72" s="20"/>
      <c r="E72" s="20"/>
      <c r="F72" s="20"/>
      <c r="G72" s="74"/>
    </row>
    <row r="73" spans="1:7" ht="25.5" x14ac:dyDescent="0.25">
      <c r="A73" s="28" t="s">
        <v>343</v>
      </c>
      <c r="B73" s="29" t="s">
        <v>240</v>
      </c>
      <c r="C73" s="648"/>
      <c r="D73" s="20"/>
      <c r="E73" s="20"/>
      <c r="F73" s="20"/>
      <c r="G73" s="74"/>
    </row>
    <row r="74" spans="1:7" ht="25.5" x14ac:dyDescent="0.25">
      <c r="A74" s="28" t="s">
        <v>344</v>
      </c>
      <c r="B74" s="29" t="s">
        <v>345</v>
      </c>
      <c r="C74" s="648"/>
      <c r="D74" s="20"/>
      <c r="E74" s="20"/>
      <c r="F74" s="20"/>
      <c r="G74" s="74"/>
    </row>
    <row r="75" spans="1:7" ht="51" x14ac:dyDescent="0.25">
      <c r="A75" s="28" t="s">
        <v>346</v>
      </c>
      <c r="B75" s="29" t="s">
        <v>347</v>
      </c>
      <c r="C75" s="648"/>
      <c r="D75" s="20"/>
      <c r="E75" s="20"/>
      <c r="F75" s="20"/>
      <c r="G75" s="74"/>
    </row>
    <row r="76" spans="1:7" ht="38.25" x14ac:dyDescent="0.25">
      <c r="A76" s="28" t="s">
        <v>348</v>
      </c>
      <c r="B76" s="29" t="s">
        <v>241</v>
      </c>
      <c r="C76" s="648"/>
      <c r="D76" s="20"/>
      <c r="E76" s="20"/>
      <c r="F76" s="20"/>
      <c r="G76" s="74"/>
    </row>
    <row r="77" spans="1:7" ht="51" x14ac:dyDescent="0.25">
      <c r="A77" s="28" t="s">
        <v>349</v>
      </c>
      <c r="B77" s="29" t="s">
        <v>242</v>
      </c>
      <c r="C77" s="648"/>
      <c r="D77" s="20"/>
      <c r="E77" s="20"/>
      <c r="F77" s="20"/>
      <c r="G77" s="74"/>
    </row>
    <row r="78" spans="1:7" ht="63.75" x14ac:dyDescent="0.25">
      <c r="A78" s="28" t="s">
        <v>350</v>
      </c>
      <c r="B78" s="29" t="s">
        <v>243</v>
      </c>
      <c r="C78" s="648"/>
      <c r="D78" s="20"/>
      <c r="E78" s="20"/>
      <c r="F78" s="20"/>
      <c r="G78" s="74"/>
    </row>
    <row r="79" spans="1:7" ht="63.75" x14ac:dyDescent="0.25">
      <c r="A79" s="28" t="s">
        <v>351</v>
      </c>
      <c r="B79" s="29" t="s">
        <v>244</v>
      </c>
      <c r="C79" s="648"/>
      <c r="D79" s="20"/>
      <c r="E79" s="20"/>
      <c r="F79" s="20"/>
      <c r="G79" s="74"/>
    </row>
    <row r="80" spans="1:7" ht="63.75" x14ac:dyDescent="0.25">
      <c r="A80" s="28" t="s">
        <v>352</v>
      </c>
      <c r="B80" s="29" t="s">
        <v>245</v>
      </c>
      <c r="C80" s="648"/>
      <c r="D80" s="20"/>
      <c r="E80" s="20"/>
      <c r="F80" s="20"/>
      <c r="G80" s="74"/>
    </row>
    <row r="81" spans="1:7" ht="76.5" x14ac:dyDescent="0.25">
      <c r="A81" s="28" t="s">
        <v>353</v>
      </c>
      <c r="B81" s="29" t="s">
        <v>246</v>
      </c>
      <c r="C81" s="648"/>
      <c r="D81" s="20"/>
      <c r="E81" s="20"/>
      <c r="F81" s="20"/>
      <c r="G81" s="74"/>
    </row>
    <row r="82" spans="1:7" ht="51" x14ac:dyDescent="0.25">
      <c r="A82" s="28" t="s">
        <v>354</v>
      </c>
      <c r="B82" s="29" t="s">
        <v>247</v>
      </c>
      <c r="C82" s="648"/>
      <c r="D82" s="20"/>
      <c r="E82" s="20"/>
      <c r="F82" s="20"/>
      <c r="G82" s="74"/>
    </row>
    <row r="83" spans="1:7" ht="51" x14ac:dyDescent="0.25">
      <c r="A83" s="28" t="s">
        <v>355</v>
      </c>
      <c r="B83" s="29" t="s">
        <v>356</v>
      </c>
      <c r="C83" s="648"/>
      <c r="D83" s="20"/>
      <c r="E83" s="20"/>
      <c r="F83" s="20"/>
      <c r="G83" s="74"/>
    </row>
    <row r="84" spans="1:7" ht="38.25" x14ac:dyDescent="0.25">
      <c r="A84" s="28" t="s">
        <v>357</v>
      </c>
      <c r="B84" s="29" t="s">
        <v>248</v>
      </c>
      <c r="C84" s="648"/>
      <c r="D84" s="89"/>
      <c r="E84" s="88"/>
      <c r="F84" s="81"/>
      <c r="G84" s="74"/>
    </row>
    <row r="85" spans="1:7" ht="63.75" x14ac:dyDescent="0.25">
      <c r="A85" s="28" t="s">
        <v>358</v>
      </c>
      <c r="B85" s="29" t="s">
        <v>249</v>
      </c>
      <c r="C85" s="649"/>
      <c r="D85" s="20">
        <v>5.75</v>
      </c>
      <c r="E85" s="20">
        <v>5.91</v>
      </c>
      <c r="F85" s="20">
        <f>E85/D85*100</f>
        <v>102.78260869565217</v>
      </c>
      <c r="G85" s="74"/>
    </row>
    <row r="86" spans="1:7" ht="76.5" x14ac:dyDescent="0.25">
      <c r="A86" s="28" t="s">
        <v>359</v>
      </c>
      <c r="B86" s="29" t="s">
        <v>250</v>
      </c>
      <c r="C86" s="650" t="s">
        <v>7</v>
      </c>
      <c r="D86" s="20"/>
      <c r="E86" s="20"/>
      <c r="F86" s="20"/>
      <c r="G86" s="74"/>
    </row>
    <row r="87" spans="1:7" ht="114.75" x14ac:dyDescent="0.25">
      <c r="A87" s="28" t="s">
        <v>360</v>
      </c>
      <c r="B87" s="29" t="s">
        <v>361</v>
      </c>
      <c r="C87" s="651"/>
      <c r="D87" s="20">
        <v>72</v>
      </c>
      <c r="E87" s="20">
        <v>72</v>
      </c>
      <c r="F87" s="81">
        <f>E87/D87</f>
        <v>1</v>
      </c>
      <c r="G87" s="74"/>
    </row>
    <row r="88" spans="1:7" x14ac:dyDescent="0.25">
      <c r="A88" s="6"/>
      <c r="B88" s="69" t="s">
        <v>166</v>
      </c>
      <c r="C88" s="66"/>
      <c r="D88" s="67"/>
      <c r="E88" s="67"/>
      <c r="F88" s="67"/>
      <c r="G88" s="66"/>
    </row>
    <row r="89" spans="1:7" x14ac:dyDescent="0.25">
      <c r="A89" s="653" t="s">
        <v>172</v>
      </c>
      <c r="B89" s="653"/>
      <c r="C89" s="653"/>
      <c r="D89" s="653"/>
      <c r="E89" s="653"/>
      <c r="F89" s="653"/>
      <c r="G89" s="653"/>
    </row>
    <row r="90" spans="1:7" ht="25.5" x14ac:dyDescent="0.25">
      <c r="A90" s="7" t="s">
        <v>367</v>
      </c>
      <c r="B90" s="8" t="s">
        <v>283</v>
      </c>
      <c r="C90" s="87"/>
      <c r="D90" s="83"/>
      <c r="E90" s="86"/>
      <c r="F90" s="86"/>
      <c r="G90" s="66"/>
    </row>
    <row r="91" spans="1:7" ht="140.25" x14ac:dyDescent="0.25">
      <c r="A91" s="7" t="s">
        <v>368</v>
      </c>
      <c r="B91" s="8" t="s">
        <v>284</v>
      </c>
      <c r="C91" s="4" t="s">
        <v>457</v>
      </c>
      <c r="D91" s="85">
        <v>94</v>
      </c>
      <c r="E91" s="21">
        <v>0</v>
      </c>
      <c r="F91" s="81">
        <f>E91/D91</f>
        <v>0</v>
      </c>
      <c r="G91" s="11" t="s">
        <v>600</v>
      </c>
    </row>
    <row r="92" spans="1:7" ht="38.25" x14ac:dyDescent="0.25">
      <c r="A92" s="9" t="s">
        <v>369</v>
      </c>
      <c r="B92" s="10" t="s">
        <v>285</v>
      </c>
      <c r="C92" s="74"/>
      <c r="D92" s="20"/>
      <c r="E92" s="20"/>
      <c r="F92" s="20"/>
      <c r="G92" s="74"/>
    </row>
    <row r="93" spans="1:7" ht="38.25" x14ac:dyDescent="0.25">
      <c r="A93" s="9" t="s">
        <v>370</v>
      </c>
      <c r="B93" s="10" t="s">
        <v>286</v>
      </c>
      <c r="C93" s="74"/>
      <c r="D93" s="20"/>
      <c r="E93" s="20"/>
      <c r="F93" s="20"/>
      <c r="G93" s="74"/>
    </row>
    <row r="94" spans="1:7" ht="51" x14ac:dyDescent="0.25">
      <c r="A94" s="9" t="s">
        <v>371</v>
      </c>
      <c r="B94" s="10" t="s">
        <v>287</v>
      </c>
      <c r="C94" s="74"/>
      <c r="D94" s="20"/>
      <c r="E94" s="20"/>
      <c r="F94" s="20"/>
      <c r="G94" s="74"/>
    </row>
    <row r="95" spans="1:7" ht="63.75" x14ac:dyDescent="0.25">
      <c r="A95" s="9" t="s">
        <v>372</v>
      </c>
      <c r="B95" s="10" t="s">
        <v>288</v>
      </c>
      <c r="C95" s="74"/>
      <c r="D95" s="20"/>
      <c r="E95" s="20"/>
      <c r="F95" s="20"/>
      <c r="G95" s="74"/>
    </row>
    <row r="96" spans="1:7" ht="51" x14ac:dyDescent="0.25">
      <c r="A96" s="9" t="s">
        <v>373</v>
      </c>
      <c r="B96" s="10" t="s">
        <v>363</v>
      </c>
      <c r="C96" s="74"/>
      <c r="D96" s="20"/>
      <c r="E96" s="20"/>
      <c r="F96" s="20"/>
      <c r="G96" s="74"/>
    </row>
    <row r="97" spans="1:7" ht="38.25" x14ac:dyDescent="0.25">
      <c r="A97" s="9" t="s">
        <v>374</v>
      </c>
      <c r="B97" s="10" t="s">
        <v>289</v>
      </c>
      <c r="C97" s="74"/>
      <c r="D97" s="20"/>
      <c r="E97" s="20"/>
      <c r="F97" s="20"/>
      <c r="G97" s="74"/>
    </row>
    <row r="98" spans="1:7" ht="51" x14ac:dyDescent="0.25">
      <c r="A98" s="9" t="s">
        <v>375</v>
      </c>
      <c r="B98" s="10" t="s">
        <v>290</v>
      </c>
      <c r="C98" s="74"/>
      <c r="D98" s="20"/>
      <c r="E98" s="20"/>
      <c r="F98" s="20"/>
      <c r="G98" s="74"/>
    </row>
    <row r="99" spans="1:7" ht="51" x14ac:dyDescent="0.25">
      <c r="A99" s="9" t="s">
        <v>376</v>
      </c>
      <c r="B99" s="10" t="s">
        <v>291</v>
      </c>
      <c r="C99" s="74"/>
      <c r="D99" s="20"/>
      <c r="E99" s="20"/>
      <c r="F99" s="20"/>
      <c r="G99" s="74"/>
    </row>
    <row r="100" spans="1:7" ht="51" x14ac:dyDescent="0.25">
      <c r="A100" s="9" t="s">
        <v>377</v>
      </c>
      <c r="B100" s="10" t="s">
        <v>292</v>
      </c>
      <c r="C100" s="74"/>
      <c r="D100" s="20"/>
      <c r="E100" s="20"/>
      <c r="F100" s="20"/>
      <c r="G100" s="74"/>
    </row>
    <row r="101" spans="1:7" ht="51" x14ac:dyDescent="0.25">
      <c r="A101" s="7" t="s">
        <v>378</v>
      </c>
      <c r="B101" s="8" t="s">
        <v>293</v>
      </c>
      <c r="C101" s="66"/>
      <c r="D101" s="67"/>
      <c r="E101" s="67"/>
      <c r="F101" s="67"/>
      <c r="G101" s="66"/>
    </row>
    <row r="102" spans="1:7" ht="38.25" x14ac:dyDescent="0.25">
      <c r="A102" s="7" t="s">
        <v>379</v>
      </c>
      <c r="B102" s="8" t="s">
        <v>294</v>
      </c>
      <c r="C102" s="66"/>
      <c r="D102" s="67"/>
      <c r="E102" s="67"/>
      <c r="F102" s="67"/>
      <c r="G102" s="66"/>
    </row>
    <row r="103" spans="1:7" ht="38.25" x14ac:dyDescent="0.25">
      <c r="A103" s="9" t="s">
        <v>380</v>
      </c>
      <c r="B103" s="10" t="s">
        <v>286</v>
      </c>
      <c r="C103" s="74"/>
      <c r="D103" s="20"/>
      <c r="E103" s="20"/>
      <c r="F103" s="20"/>
      <c r="G103" s="74"/>
    </row>
    <row r="104" spans="1:7" ht="63.75" x14ac:dyDescent="0.25">
      <c r="A104" s="9" t="s">
        <v>381</v>
      </c>
      <c r="B104" s="10" t="s">
        <v>295</v>
      </c>
      <c r="C104" s="74"/>
      <c r="D104" s="20"/>
      <c r="E104" s="20"/>
      <c r="F104" s="20"/>
      <c r="G104" s="74"/>
    </row>
    <row r="105" spans="1:7" ht="25.5" x14ac:dyDescent="0.25">
      <c r="A105" s="7" t="s">
        <v>382</v>
      </c>
      <c r="B105" s="8" t="s">
        <v>296</v>
      </c>
      <c r="C105" s="66"/>
      <c r="D105" s="67"/>
      <c r="E105" s="67"/>
      <c r="F105" s="67"/>
      <c r="G105" s="66"/>
    </row>
    <row r="106" spans="1:7" ht="51" x14ac:dyDescent="0.25">
      <c r="A106" s="9" t="s">
        <v>383</v>
      </c>
      <c r="B106" s="10" t="s">
        <v>297</v>
      </c>
      <c r="C106" s="74"/>
      <c r="D106" s="20"/>
      <c r="E106" s="20"/>
      <c r="F106" s="20"/>
      <c r="G106" s="74"/>
    </row>
    <row r="107" spans="1:7" ht="102" x14ac:dyDescent="0.25">
      <c r="A107" s="7" t="s">
        <v>384</v>
      </c>
      <c r="B107" s="8" t="s">
        <v>298</v>
      </c>
      <c r="C107" s="66"/>
      <c r="D107" s="67"/>
      <c r="E107" s="67"/>
      <c r="F107" s="67"/>
      <c r="G107" s="66"/>
    </row>
    <row r="108" spans="1:7" ht="90" thickBot="1" x14ac:dyDescent="0.3">
      <c r="A108" s="9" t="s">
        <v>385</v>
      </c>
      <c r="B108" s="10" t="s">
        <v>299</v>
      </c>
      <c r="C108" s="74"/>
      <c r="D108" s="20"/>
      <c r="E108" s="82"/>
      <c r="F108" s="20"/>
      <c r="G108" s="74"/>
    </row>
    <row r="109" spans="1:7" ht="179.25" thickBot="1" x14ac:dyDescent="0.3">
      <c r="A109" s="9" t="s">
        <v>386</v>
      </c>
      <c r="B109" s="10" t="s">
        <v>300</v>
      </c>
      <c r="C109" s="84" t="s">
        <v>449</v>
      </c>
      <c r="D109" s="119">
        <v>35.5</v>
      </c>
      <c r="E109" s="120">
        <v>35.5</v>
      </c>
      <c r="F109" s="81">
        <v>1</v>
      </c>
      <c r="G109" s="121"/>
    </row>
    <row r="110" spans="1:7" ht="38.25" x14ac:dyDescent="0.25">
      <c r="A110" s="9" t="s">
        <v>387</v>
      </c>
      <c r="B110" s="10" t="s">
        <v>301</v>
      </c>
      <c r="C110" s="74"/>
      <c r="D110" s="20"/>
      <c r="E110" s="82"/>
      <c r="F110" s="20"/>
      <c r="G110" s="74"/>
    </row>
    <row r="111" spans="1:7" ht="89.25" x14ac:dyDescent="0.25">
      <c r="A111" s="9" t="s">
        <v>388</v>
      </c>
      <c r="B111" s="10" t="s">
        <v>302</v>
      </c>
      <c r="C111" s="4" t="s">
        <v>458</v>
      </c>
      <c r="D111" s="27">
        <v>4.8</v>
      </c>
      <c r="E111" s="120">
        <v>4.8</v>
      </c>
      <c r="F111" s="81">
        <v>1</v>
      </c>
      <c r="G111" s="121"/>
    </row>
    <row r="112" spans="1:7" x14ac:dyDescent="0.25">
      <c r="A112" s="7" t="s">
        <v>389</v>
      </c>
      <c r="B112" s="8" t="s">
        <v>173</v>
      </c>
      <c r="C112" s="66"/>
      <c r="D112" s="67"/>
      <c r="E112" s="67"/>
      <c r="F112" s="67"/>
      <c r="G112" s="66"/>
    </row>
    <row r="113" spans="1:7" ht="25.5" x14ac:dyDescent="0.25">
      <c r="A113" s="9" t="s">
        <v>390</v>
      </c>
      <c r="B113" s="10" t="s">
        <v>303</v>
      </c>
      <c r="C113" s="74"/>
      <c r="D113" s="20"/>
      <c r="E113" s="20"/>
      <c r="F113" s="20"/>
      <c r="G113" s="74"/>
    </row>
    <row r="114" spans="1:7" x14ac:dyDescent="0.25">
      <c r="A114" s="80"/>
      <c r="B114" s="79" t="s">
        <v>166</v>
      </c>
      <c r="C114" s="72"/>
      <c r="D114" s="78"/>
      <c r="E114" s="78"/>
      <c r="F114" s="73"/>
      <c r="G114" s="72"/>
    </row>
    <row r="115" spans="1:7" x14ac:dyDescent="0.25">
      <c r="A115" s="654" t="s">
        <v>174</v>
      </c>
      <c r="B115" s="653"/>
      <c r="C115" s="654"/>
      <c r="D115" s="654"/>
      <c r="E115" s="654"/>
      <c r="F115" s="654"/>
      <c r="G115" s="654"/>
    </row>
    <row r="116" spans="1:7" ht="90" x14ac:dyDescent="0.25">
      <c r="A116" s="12" t="s">
        <v>391</v>
      </c>
      <c r="B116" s="13" t="s">
        <v>175</v>
      </c>
      <c r="C116" s="107" t="s">
        <v>112</v>
      </c>
      <c r="D116" s="20">
        <v>0.59</v>
      </c>
      <c r="E116" s="20">
        <v>0.55000000000000004</v>
      </c>
      <c r="F116" s="76">
        <f>E116/D116</f>
        <v>0.93220338983050854</v>
      </c>
      <c r="G116" s="478" t="s">
        <v>546</v>
      </c>
    </row>
    <row r="117" spans="1:7" ht="63.75" x14ac:dyDescent="0.25">
      <c r="A117" s="12"/>
      <c r="B117" s="109"/>
      <c r="C117" s="110" t="s">
        <v>113</v>
      </c>
      <c r="D117" s="111">
        <v>19925</v>
      </c>
      <c r="E117" s="111">
        <v>21277</v>
      </c>
      <c r="F117" s="112">
        <f>E117/D117</f>
        <v>1.0678544542032622</v>
      </c>
      <c r="G117" s="593" t="s">
        <v>549</v>
      </c>
    </row>
    <row r="118" spans="1:7" ht="25.5" x14ac:dyDescent="0.25">
      <c r="A118" s="14" t="s">
        <v>408</v>
      </c>
      <c r="B118" s="34" t="s">
        <v>392</v>
      </c>
      <c r="C118" s="108"/>
      <c r="D118" s="108"/>
      <c r="E118" s="108"/>
      <c r="F118" s="108"/>
      <c r="G118" s="108"/>
    </row>
    <row r="119" spans="1:7" ht="25.5" x14ac:dyDescent="0.25">
      <c r="A119" s="14" t="s">
        <v>409</v>
      </c>
      <c r="B119" s="34" t="s">
        <v>393</v>
      </c>
      <c r="C119" s="77"/>
      <c r="D119" s="20"/>
      <c r="E119" s="20"/>
      <c r="F119" s="20"/>
      <c r="G119" s="74"/>
    </row>
    <row r="120" spans="1:7" ht="51" x14ac:dyDescent="0.25">
      <c r="A120" s="14" t="s">
        <v>410</v>
      </c>
      <c r="B120" s="34" t="s">
        <v>394</v>
      </c>
      <c r="C120" s="77"/>
      <c r="D120" s="20"/>
      <c r="E120" s="20"/>
      <c r="F120" s="20"/>
      <c r="G120" s="74"/>
    </row>
    <row r="121" spans="1:7" ht="38.25" x14ac:dyDescent="0.25">
      <c r="A121" s="14" t="s">
        <v>411</v>
      </c>
      <c r="B121" s="34" t="s">
        <v>395</v>
      </c>
      <c r="C121" s="77"/>
      <c r="D121" s="20"/>
      <c r="E121" s="20"/>
      <c r="F121" s="20"/>
      <c r="G121" s="74"/>
    </row>
    <row r="122" spans="1:7" ht="89.25" x14ac:dyDescent="0.25">
      <c r="A122" s="14" t="s">
        <v>412</v>
      </c>
      <c r="B122" s="34" t="s">
        <v>396</v>
      </c>
      <c r="C122" s="77"/>
      <c r="D122" s="20"/>
      <c r="E122" s="20"/>
      <c r="F122" s="20"/>
      <c r="G122" s="74"/>
    </row>
    <row r="123" spans="1:7" ht="25.5" x14ac:dyDescent="0.25">
      <c r="A123" s="14" t="s">
        <v>413</v>
      </c>
      <c r="B123" s="34" t="s">
        <v>397</v>
      </c>
      <c r="C123" s="77"/>
      <c r="D123" s="20"/>
      <c r="E123" s="20"/>
      <c r="F123" s="20"/>
      <c r="G123" s="74"/>
    </row>
    <row r="124" spans="1:7" ht="114.75" x14ac:dyDescent="0.25">
      <c r="A124" s="14" t="s">
        <v>414</v>
      </c>
      <c r="B124" s="34" t="s">
        <v>431</v>
      </c>
      <c r="C124" s="77"/>
      <c r="D124" s="20"/>
      <c r="E124" s="20"/>
      <c r="F124" s="20"/>
      <c r="G124" s="74"/>
    </row>
    <row r="125" spans="1:7" ht="25.5" x14ac:dyDescent="0.25">
      <c r="A125" s="14" t="s">
        <v>415</v>
      </c>
      <c r="B125" s="34" t="s">
        <v>398</v>
      </c>
      <c r="C125" s="77"/>
      <c r="D125" s="20"/>
      <c r="E125" s="20"/>
      <c r="F125" s="20"/>
      <c r="G125" s="74"/>
    </row>
    <row r="126" spans="1:7" ht="191.25" x14ac:dyDescent="0.25">
      <c r="A126" s="14" t="s">
        <v>416</v>
      </c>
      <c r="B126" s="34" t="s">
        <v>432</v>
      </c>
      <c r="C126" s="77"/>
      <c r="D126" s="20"/>
      <c r="E126" s="20"/>
      <c r="F126" s="20"/>
      <c r="G126" s="74"/>
    </row>
    <row r="127" spans="1:7" x14ac:dyDescent="0.25">
      <c r="A127" s="15" t="s">
        <v>417</v>
      </c>
      <c r="B127" s="34" t="s">
        <v>399</v>
      </c>
      <c r="C127" s="77"/>
      <c r="D127" s="20"/>
      <c r="E127" s="20"/>
      <c r="F127" s="20"/>
      <c r="G127" s="74"/>
    </row>
    <row r="128" spans="1:7" ht="102" x14ac:dyDescent="0.25">
      <c r="A128" s="16" t="s">
        <v>418</v>
      </c>
      <c r="B128" s="13" t="s">
        <v>400</v>
      </c>
      <c r="C128" s="107" t="s">
        <v>114</v>
      </c>
      <c r="D128" s="20">
        <v>0.16</v>
      </c>
      <c r="E128" s="20">
        <v>0.26</v>
      </c>
      <c r="F128" s="76"/>
      <c r="G128" s="481" t="s">
        <v>547</v>
      </c>
    </row>
    <row r="129" spans="1:7" ht="89.25" x14ac:dyDescent="0.25">
      <c r="A129" s="16" t="s">
        <v>419</v>
      </c>
      <c r="B129" s="13" t="s">
        <v>433</v>
      </c>
      <c r="C129" s="77"/>
      <c r="D129" s="67"/>
      <c r="E129" s="67"/>
      <c r="F129" s="67"/>
      <c r="G129" s="66"/>
    </row>
    <row r="130" spans="1:7" ht="114.75" x14ac:dyDescent="0.25">
      <c r="A130" s="15" t="s">
        <v>420</v>
      </c>
      <c r="B130" s="34" t="s">
        <v>434</v>
      </c>
      <c r="C130" s="77"/>
      <c r="D130" s="20"/>
      <c r="E130" s="20"/>
      <c r="F130" s="20"/>
      <c r="G130" s="74"/>
    </row>
    <row r="131" spans="1:7" ht="127.5" x14ac:dyDescent="0.25">
      <c r="A131" s="15" t="s">
        <v>421</v>
      </c>
      <c r="B131" s="34" t="s">
        <v>435</v>
      </c>
      <c r="C131" s="77"/>
      <c r="D131" s="20"/>
      <c r="E131" s="20"/>
      <c r="F131" s="20"/>
      <c r="G131" s="74"/>
    </row>
    <row r="132" spans="1:7" ht="25.5" x14ac:dyDescent="0.25">
      <c r="A132" s="15" t="s">
        <v>422</v>
      </c>
      <c r="B132" s="17" t="s">
        <v>401</v>
      </c>
      <c r="C132" s="77"/>
      <c r="D132" s="20"/>
      <c r="E132" s="20"/>
      <c r="F132" s="20"/>
      <c r="G132" s="74"/>
    </row>
    <row r="133" spans="1:7" ht="38.25" x14ac:dyDescent="0.25">
      <c r="A133" s="15" t="s">
        <v>423</v>
      </c>
      <c r="B133" s="34" t="s">
        <v>402</v>
      </c>
      <c r="C133" s="77"/>
      <c r="D133" s="20"/>
      <c r="E133" s="20"/>
      <c r="F133" s="20"/>
      <c r="G133" s="74"/>
    </row>
    <row r="134" spans="1:7" ht="51" x14ac:dyDescent="0.25">
      <c r="A134" s="16" t="s">
        <v>424</v>
      </c>
      <c r="B134" s="13" t="s">
        <v>403</v>
      </c>
      <c r="C134" s="113"/>
      <c r="D134" s="64"/>
      <c r="E134" s="64"/>
      <c r="F134" s="76"/>
      <c r="G134" s="34"/>
    </row>
    <row r="135" spans="1:7" ht="51" x14ac:dyDescent="0.25">
      <c r="A135" s="15" t="s">
        <v>425</v>
      </c>
      <c r="B135" s="34" t="s">
        <v>436</v>
      </c>
      <c r="C135" s="77"/>
      <c r="D135" s="20"/>
      <c r="E135" s="20"/>
      <c r="F135" s="20"/>
      <c r="G135" s="74"/>
    </row>
    <row r="136" spans="1:7" ht="89.25" x14ac:dyDescent="0.25">
      <c r="A136" s="16" t="s">
        <v>426</v>
      </c>
      <c r="B136" s="13" t="s">
        <v>404</v>
      </c>
      <c r="C136" s="113" t="s">
        <v>115</v>
      </c>
      <c r="D136" s="64">
        <v>2689</v>
      </c>
      <c r="E136" s="64">
        <v>2618</v>
      </c>
      <c r="F136" s="76">
        <f>E136/D136</f>
        <v>0.97359613239122356</v>
      </c>
      <c r="G136" s="485" t="s">
        <v>548</v>
      </c>
    </row>
    <row r="137" spans="1:7" ht="102" x14ac:dyDescent="0.25">
      <c r="A137" s="16"/>
      <c r="B137" s="13"/>
      <c r="C137" s="113" t="s">
        <v>116</v>
      </c>
      <c r="D137" s="64">
        <v>141</v>
      </c>
      <c r="E137" s="64">
        <v>81</v>
      </c>
      <c r="F137" s="76">
        <f>E137/D137</f>
        <v>0.57446808510638303</v>
      </c>
      <c r="G137" s="488" t="s">
        <v>550</v>
      </c>
    </row>
    <row r="138" spans="1:7" ht="76.5" x14ac:dyDescent="0.25">
      <c r="A138" s="16"/>
      <c r="B138" s="13"/>
      <c r="C138" s="113" t="s">
        <v>117</v>
      </c>
      <c r="D138" s="487">
        <v>4250</v>
      </c>
      <c r="E138" s="477">
        <v>4713</v>
      </c>
      <c r="F138" s="76">
        <f>E138/D138</f>
        <v>1.1089411764705883</v>
      </c>
      <c r="G138" s="485" t="s">
        <v>118</v>
      </c>
    </row>
    <row r="139" spans="1:7" ht="89.25" x14ac:dyDescent="0.25">
      <c r="A139" s="16"/>
      <c r="B139" s="13"/>
      <c r="C139" s="113" t="s">
        <v>119</v>
      </c>
      <c r="D139" s="114" t="s">
        <v>362</v>
      </c>
      <c r="E139" s="114" t="s">
        <v>362</v>
      </c>
      <c r="F139" s="114" t="s">
        <v>362</v>
      </c>
      <c r="G139" s="34" t="s">
        <v>120</v>
      </c>
    </row>
    <row r="140" spans="1:7" ht="63.75" x14ac:dyDescent="0.25">
      <c r="A140" s="16"/>
      <c r="B140" s="13"/>
      <c r="C140" s="113" t="s">
        <v>121</v>
      </c>
      <c r="D140" s="115" t="s">
        <v>362</v>
      </c>
      <c r="E140" s="115" t="s">
        <v>362</v>
      </c>
      <c r="F140" s="115" t="s">
        <v>362</v>
      </c>
      <c r="G140" s="485" t="s">
        <v>122</v>
      </c>
    </row>
    <row r="141" spans="1:7" ht="102" x14ac:dyDescent="0.25">
      <c r="A141" s="16"/>
      <c r="B141" s="13"/>
      <c r="C141" s="110" t="s">
        <v>123</v>
      </c>
      <c r="D141" s="115" t="s">
        <v>362</v>
      </c>
      <c r="E141" s="115" t="s">
        <v>362</v>
      </c>
      <c r="F141" s="115" t="s">
        <v>362</v>
      </c>
      <c r="G141" s="485" t="s">
        <v>122</v>
      </c>
    </row>
    <row r="142" spans="1:7" ht="25.5" x14ac:dyDescent="0.25">
      <c r="A142" s="15" t="s">
        <v>427</v>
      </c>
      <c r="B142" s="34" t="s">
        <v>405</v>
      </c>
      <c r="C142" s="77"/>
      <c r="D142" s="20"/>
      <c r="E142" s="20"/>
      <c r="F142" s="20"/>
      <c r="G142" s="74"/>
    </row>
    <row r="143" spans="1:7" ht="25.5" x14ac:dyDescent="0.25">
      <c r="A143" s="15" t="s">
        <v>428</v>
      </c>
      <c r="B143" s="34" t="s">
        <v>406</v>
      </c>
      <c r="C143" s="77"/>
      <c r="D143" s="20"/>
      <c r="E143" s="20"/>
      <c r="F143" s="20"/>
      <c r="G143" s="74"/>
    </row>
    <row r="144" spans="1:7" ht="76.5" x14ac:dyDescent="0.25">
      <c r="A144" s="15" t="s">
        <v>429</v>
      </c>
      <c r="B144" s="34" t="s">
        <v>407</v>
      </c>
      <c r="C144" s="113"/>
      <c r="D144" s="64"/>
      <c r="E144" s="64"/>
      <c r="F144" s="76"/>
      <c r="G144" s="34"/>
    </row>
    <row r="145" spans="1:7" ht="114.75" x14ac:dyDescent="0.25">
      <c r="A145" s="15" t="s">
        <v>430</v>
      </c>
      <c r="B145" s="34" t="s">
        <v>471</v>
      </c>
      <c r="C145" s="113"/>
      <c r="D145" s="20">
        <v>2668</v>
      </c>
      <c r="E145" s="20">
        <v>6170</v>
      </c>
      <c r="F145" s="20">
        <v>2.31</v>
      </c>
      <c r="G145" s="34"/>
    </row>
    <row r="146" spans="1:7" x14ac:dyDescent="0.25">
      <c r="A146" s="6"/>
      <c r="B146" s="69" t="s">
        <v>166</v>
      </c>
      <c r="C146" s="66"/>
      <c r="D146" s="67"/>
      <c r="E146" s="67"/>
      <c r="F146" s="67"/>
      <c r="G146" s="66"/>
    </row>
    <row r="147" spans="1:7" x14ac:dyDescent="0.25">
      <c r="A147" s="642" t="s">
        <v>176</v>
      </c>
      <c r="B147" s="643"/>
      <c r="C147" s="644"/>
      <c r="D147" s="644"/>
      <c r="E147" s="644"/>
      <c r="F147" s="644"/>
      <c r="G147" s="645"/>
    </row>
    <row r="148" spans="1:7" ht="127.5" x14ac:dyDescent="0.25">
      <c r="A148" s="18" t="s">
        <v>198</v>
      </c>
      <c r="B148" s="75" t="s">
        <v>364</v>
      </c>
      <c r="C148" s="34" t="s">
        <v>124</v>
      </c>
      <c r="D148" s="501">
        <v>12.5</v>
      </c>
      <c r="E148" s="477">
        <v>45.7</v>
      </c>
      <c r="F148" s="76">
        <f>E148/D148</f>
        <v>3.6560000000000001</v>
      </c>
      <c r="G148" s="65" t="s">
        <v>101</v>
      </c>
    </row>
    <row r="149" spans="1:7" ht="114.75" x14ac:dyDescent="0.25">
      <c r="A149" s="18"/>
      <c r="B149" s="75"/>
      <c r="C149" s="34" t="s">
        <v>125</v>
      </c>
      <c r="D149" s="65"/>
      <c r="E149" s="65"/>
      <c r="F149" s="76"/>
      <c r="G149" s="65"/>
    </row>
    <row r="150" spans="1:7" ht="89.25" x14ac:dyDescent="0.25">
      <c r="A150" s="18"/>
      <c r="B150" s="75"/>
      <c r="C150" s="34" t="s">
        <v>126</v>
      </c>
      <c r="D150" s="463">
        <v>3.75</v>
      </c>
      <c r="E150" s="506">
        <v>8.85</v>
      </c>
      <c r="F150" s="76">
        <f>E150/D150</f>
        <v>2.36</v>
      </c>
      <c r="G150" s="502" t="s">
        <v>552</v>
      </c>
    </row>
    <row r="151" spans="1:7" ht="51" x14ac:dyDescent="0.25">
      <c r="A151" s="18" t="s">
        <v>365</v>
      </c>
      <c r="B151" s="75" t="s">
        <v>366</v>
      </c>
      <c r="C151" s="22"/>
      <c r="D151" s="20"/>
      <c r="E151" s="20"/>
      <c r="F151" s="20"/>
      <c r="G151" s="74"/>
    </row>
    <row r="152" spans="1:7" x14ac:dyDescent="0.25">
      <c r="A152" s="6"/>
      <c r="B152" s="69" t="s">
        <v>166</v>
      </c>
      <c r="C152" s="72"/>
      <c r="D152" s="73"/>
      <c r="E152" s="73"/>
      <c r="F152" s="73"/>
      <c r="G152" s="72"/>
    </row>
    <row r="153" spans="1:7" x14ac:dyDescent="0.25">
      <c r="A153" s="642" t="s">
        <v>443</v>
      </c>
      <c r="B153" s="643"/>
      <c r="C153" s="643"/>
      <c r="D153" s="643"/>
      <c r="E153" s="643"/>
      <c r="F153" s="643"/>
      <c r="G153" s="646"/>
    </row>
    <row r="154" spans="1:7" s="434" customFormat="1" ht="63.75" x14ac:dyDescent="0.25">
      <c r="A154" s="435" t="s">
        <v>437</v>
      </c>
      <c r="B154" s="436" t="s">
        <v>606</v>
      </c>
      <c r="C154" s="452" t="s">
        <v>495</v>
      </c>
      <c r="D154" s="596">
        <v>25</v>
      </c>
      <c r="E154" s="552">
        <v>95</v>
      </c>
      <c r="F154" s="596"/>
      <c r="G154" s="452" t="s">
        <v>553</v>
      </c>
    </row>
    <row r="155" spans="1:7" ht="196.5" customHeight="1" x14ac:dyDescent="0.25">
      <c r="A155" s="46" t="s">
        <v>439</v>
      </c>
      <c r="B155" s="47" t="s">
        <v>440</v>
      </c>
      <c r="C155" s="22" t="s">
        <v>496</v>
      </c>
      <c r="D155" s="67">
        <v>4</v>
      </c>
      <c r="E155" s="595">
        <v>4</v>
      </c>
      <c r="F155" s="67"/>
      <c r="G155" s="71" t="s">
        <v>602</v>
      </c>
    </row>
    <row r="156" spans="1:7" ht="191.25" customHeight="1" x14ac:dyDescent="0.25">
      <c r="A156" s="46" t="s">
        <v>441</v>
      </c>
      <c r="B156" s="47" t="s">
        <v>442</v>
      </c>
      <c r="C156" s="66"/>
      <c r="D156" s="67"/>
      <c r="E156" s="67"/>
      <c r="F156" s="67"/>
      <c r="G156" s="594" t="str">
        <f>'план-график'!$K$169</f>
        <v>ОГКОУ Детский дом "Соловьиная роща" на ремонт межпанельных швов и замену оконных блоков израсходовано 250,0 тыс. руб.,  и ОГКОУ Ульяновский детский дом "Гнёздышко" на сумму 120,0 тыс.рублей, ОГКОУ "Планета детства" - 130,0 тыс. руб. -установлены энергосберегающие светильники, приборов учёта теплаи пластиковые окна, , ОГКУСО «Социально-реабилитационный центр для несовершеннолетних «Причал надежды» в г. Ульяновске» произведена замена окон на пластиковые в общей сумме 994,980 тыс. руб., ОГАУСО «Реабилитационный центр для инвалидов молодого возраста «Сосновый бор» в р. Вешкайма» - 344,309 тыс. рублей</v>
      </c>
    </row>
    <row r="157" spans="1:7" x14ac:dyDescent="0.25">
      <c r="A157" s="6"/>
      <c r="B157" s="69" t="s">
        <v>166</v>
      </c>
      <c r="C157" s="66"/>
      <c r="D157" s="67"/>
      <c r="E157" s="67"/>
      <c r="F157" s="67"/>
      <c r="G157" s="66"/>
    </row>
    <row r="158" spans="1:7" x14ac:dyDescent="0.25">
      <c r="A158" s="70"/>
      <c r="B158" s="69" t="s">
        <v>167</v>
      </c>
      <c r="C158" s="68"/>
      <c r="D158" s="67"/>
      <c r="E158" s="67"/>
      <c r="F158" s="67"/>
      <c r="G158" s="66"/>
    </row>
    <row r="160" spans="1:7" ht="15.75" x14ac:dyDescent="0.25">
      <c r="A160" s="652"/>
      <c r="B160" s="652"/>
      <c r="C160" s="652"/>
      <c r="D160" s="652"/>
      <c r="E160" s="652"/>
      <c r="F160" s="652"/>
      <c r="G160" s="652"/>
    </row>
  </sheetData>
  <mergeCells count="12">
    <mergeCell ref="A2:G2"/>
    <mergeCell ref="A3:G3"/>
    <mergeCell ref="A7:G7"/>
    <mergeCell ref="A59:G59"/>
    <mergeCell ref="C61:C68"/>
    <mergeCell ref="A147:G147"/>
    <mergeCell ref="A153:G153"/>
    <mergeCell ref="C69:C85"/>
    <mergeCell ref="C86:C87"/>
    <mergeCell ref="A160:G160"/>
    <mergeCell ref="A89:G89"/>
    <mergeCell ref="A115:G115"/>
  </mergeCells>
  <phoneticPr fontId="38" type="noConversion"/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tabSelected="1" view="pageBreakPreview" topLeftCell="A163" zoomScale="75" zoomScaleNormal="100" zoomScaleSheetLayoutView="90" workbookViewId="0">
      <selection activeCell="K90" sqref="K90"/>
    </sheetView>
  </sheetViews>
  <sheetFormatPr defaultRowHeight="15" x14ac:dyDescent="0.25"/>
  <cols>
    <col min="2" max="2" width="38.85546875" customWidth="1"/>
    <col min="3" max="3" width="13.42578125" customWidth="1"/>
    <col min="5" max="5" width="8.85546875" customWidth="1"/>
    <col min="6" max="6" width="7.7109375" customWidth="1"/>
    <col min="7" max="7" width="6.28515625" customWidth="1"/>
    <col min="8" max="8" width="17.5703125" customWidth="1"/>
    <col min="9" max="9" width="17" customWidth="1"/>
    <col min="10" max="10" width="30" customWidth="1"/>
    <col min="11" max="11" width="34.42578125" style="123" customWidth="1"/>
    <col min="12" max="12" width="20.85546875" customWidth="1"/>
    <col min="13" max="13" width="18.140625" customWidth="1"/>
  </cols>
  <sheetData>
    <row r="1" spans="1:13" ht="20.25" x14ac:dyDescent="0.25">
      <c r="A1" s="683" t="s">
        <v>599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2"/>
      <c r="M1" s="2"/>
    </row>
    <row r="2" spans="1:13" s="434" customFormat="1" ht="37.5" customHeight="1" x14ac:dyDescent="0.25">
      <c r="A2" s="661"/>
      <c r="B2" s="661" t="s">
        <v>177</v>
      </c>
      <c r="C2" s="661" t="s">
        <v>178</v>
      </c>
      <c r="D2" s="684" t="s">
        <v>179</v>
      </c>
      <c r="E2" s="685"/>
      <c r="F2" s="684" t="s">
        <v>180</v>
      </c>
      <c r="G2" s="685"/>
      <c r="H2" s="684" t="s">
        <v>455</v>
      </c>
      <c r="I2" s="685"/>
      <c r="J2" s="684" t="s">
        <v>181</v>
      </c>
      <c r="K2" s="685"/>
      <c r="L2" s="580" t="s">
        <v>472</v>
      </c>
      <c r="M2" s="518" t="s">
        <v>607</v>
      </c>
    </row>
    <row r="3" spans="1:13" s="434" customFormat="1" ht="23.25" customHeight="1" x14ac:dyDescent="0.25">
      <c r="A3" s="663"/>
      <c r="B3" s="663"/>
      <c r="C3" s="663"/>
      <c r="D3" s="438" t="s">
        <v>182</v>
      </c>
      <c r="E3" s="438" t="s">
        <v>183</v>
      </c>
      <c r="F3" s="438" t="s">
        <v>182</v>
      </c>
      <c r="G3" s="438" t="s">
        <v>183</v>
      </c>
      <c r="H3" s="438" t="s">
        <v>184</v>
      </c>
      <c r="I3" s="438" t="s">
        <v>185</v>
      </c>
      <c r="J3" s="438" t="s">
        <v>186</v>
      </c>
      <c r="K3" s="438" t="s">
        <v>187</v>
      </c>
      <c r="L3" s="580"/>
      <c r="M3" s="518"/>
    </row>
    <row r="4" spans="1:13" s="434" customFormat="1" x14ac:dyDescent="0.25">
      <c r="A4" s="581">
        <v>1</v>
      </c>
      <c r="B4" s="438">
        <v>2</v>
      </c>
      <c r="C4" s="582">
        <v>3</v>
      </c>
      <c r="D4" s="438">
        <v>4</v>
      </c>
      <c r="E4" s="438">
        <v>5</v>
      </c>
      <c r="F4" s="438">
        <v>6</v>
      </c>
      <c r="G4" s="438">
        <v>7</v>
      </c>
      <c r="H4" s="438">
        <v>8</v>
      </c>
      <c r="I4" s="438">
        <v>9</v>
      </c>
      <c r="J4" s="438">
        <v>10</v>
      </c>
      <c r="K4" s="438">
        <v>11</v>
      </c>
      <c r="L4" s="580">
        <v>12</v>
      </c>
      <c r="M4" s="518"/>
    </row>
    <row r="5" spans="1:13" s="434" customFormat="1" ht="25.5" x14ac:dyDescent="0.25">
      <c r="A5" s="583">
        <v>1</v>
      </c>
      <c r="B5" s="584" t="s">
        <v>165</v>
      </c>
      <c r="C5" s="664" t="s">
        <v>480</v>
      </c>
      <c r="D5" s="438"/>
      <c r="E5" s="438"/>
      <c r="F5" s="438"/>
      <c r="G5" s="438"/>
      <c r="H5" s="585">
        <f>H6+H7+H8+H11+H12+H53+H55+H54</f>
        <v>5248998.7</v>
      </c>
      <c r="I5" s="585">
        <f>I6+I7+I8+I11+I12+I53+I55+I54+I56+I57</f>
        <v>4577606.026920001</v>
      </c>
      <c r="J5" s="452"/>
      <c r="K5" s="452"/>
      <c r="L5" s="439"/>
      <c r="M5" s="433">
        <f>I5/H5</f>
        <v>0.87209128608090547</v>
      </c>
    </row>
    <row r="6" spans="1:13" s="434" customFormat="1" ht="140.25" x14ac:dyDescent="0.25">
      <c r="A6" s="530" t="s">
        <v>188</v>
      </c>
      <c r="B6" s="531" t="s">
        <v>199</v>
      </c>
      <c r="C6" s="665"/>
      <c r="D6" s="438" t="s">
        <v>63</v>
      </c>
      <c r="E6" s="438" t="s">
        <v>64</v>
      </c>
      <c r="F6" s="438"/>
      <c r="G6" s="438"/>
      <c r="H6" s="533">
        <f>2*88741.5+91430.6</f>
        <v>268913.59999999998</v>
      </c>
      <c r="I6" s="512">
        <f>финансир!M9</f>
        <v>246115.8</v>
      </c>
      <c r="J6" s="561" t="s">
        <v>144</v>
      </c>
      <c r="K6" s="586" t="s">
        <v>554</v>
      </c>
      <c r="L6" s="439"/>
      <c r="M6" s="433">
        <f>I6/H6</f>
        <v>0.915222584502978</v>
      </c>
    </row>
    <row r="7" spans="1:13" s="434" customFormat="1" ht="140.25" x14ac:dyDescent="0.25">
      <c r="A7" s="530" t="s">
        <v>189</v>
      </c>
      <c r="B7" s="531" t="s">
        <v>200</v>
      </c>
      <c r="C7" s="665"/>
      <c r="D7" s="438" t="s">
        <v>63</v>
      </c>
      <c r="E7" s="438" t="s">
        <v>64</v>
      </c>
      <c r="F7" s="438"/>
      <c r="G7" s="438"/>
      <c r="H7" s="533">
        <f>2*34490.3+35535.4</f>
        <v>104516</v>
      </c>
      <c r="I7" s="512">
        <f>финансир!M10</f>
        <v>75301.95</v>
      </c>
      <c r="J7" s="561" t="s">
        <v>145</v>
      </c>
      <c r="K7" s="586" t="s">
        <v>555</v>
      </c>
      <c r="L7" s="439"/>
      <c r="M7" s="433">
        <f>I7/H7</f>
        <v>0.72048250985495044</v>
      </c>
    </row>
    <row r="8" spans="1:13" s="434" customFormat="1" ht="38.25" x14ac:dyDescent="0.25">
      <c r="A8" s="568" t="s">
        <v>190</v>
      </c>
      <c r="B8" s="569" t="s">
        <v>201</v>
      </c>
      <c r="C8" s="665"/>
      <c r="D8" s="439"/>
      <c r="E8" s="439"/>
      <c r="F8" s="439"/>
      <c r="G8" s="439"/>
      <c r="H8" s="570">
        <f>H9+H10</f>
        <v>47925</v>
      </c>
      <c r="I8" s="570">
        <f>I9+I10</f>
        <v>62095.990000000005</v>
      </c>
      <c r="J8" s="513"/>
      <c r="K8" s="451"/>
      <c r="L8" s="587"/>
      <c r="M8" s="433">
        <f t="shared" ref="M8:M55" si="0">I8/H8</f>
        <v>1.295690975482525</v>
      </c>
    </row>
    <row r="9" spans="1:13" s="434" customFormat="1" ht="89.25" x14ac:dyDescent="0.25">
      <c r="A9" s="530" t="s">
        <v>251</v>
      </c>
      <c r="B9" s="531" t="s">
        <v>202</v>
      </c>
      <c r="C9" s="665"/>
      <c r="D9" s="438" t="s">
        <v>63</v>
      </c>
      <c r="E9" s="438" t="s">
        <v>64</v>
      </c>
      <c r="F9" s="588"/>
      <c r="G9" s="588"/>
      <c r="H9" s="533">
        <v>1200</v>
      </c>
      <c r="I9" s="512">
        <f>финансир!M12</f>
        <v>1599.9949999999999</v>
      </c>
      <c r="J9" s="561" t="s">
        <v>74</v>
      </c>
      <c r="K9" s="589" t="s">
        <v>19</v>
      </c>
      <c r="L9" s="590"/>
      <c r="M9" s="433">
        <f t="shared" si="0"/>
        <v>1.3333291666666667</v>
      </c>
    </row>
    <row r="10" spans="1:13" s="434" customFormat="1" ht="127.5" x14ac:dyDescent="0.25">
      <c r="A10" s="530" t="s">
        <v>252</v>
      </c>
      <c r="B10" s="531" t="s">
        <v>304</v>
      </c>
      <c r="C10" s="665"/>
      <c r="D10" s="438" t="s">
        <v>63</v>
      </c>
      <c r="E10" s="438" t="s">
        <v>64</v>
      </c>
      <c r="F10" s="438"/>
      <c r="G10" s="438"/>
      <c r="H10" s="533">
        <f>3*15575</f>
        <v>46725</v>
      </c>
      <c r="I10" s="512">
        <f>финансир!M13</f>
        <v>60495.995000000003</v>
      </c>
      <c r="J10" s="561" t="s">
        <v>73</v>
      </c>
      <c r="K10" s="573" t="s">
        <v>20</v>
      </c>
      <c r="L10" s="439"/>
      <c r="M10" s="433">
        <f t="shared" si="0"/>
        <v>1.2947243445692884</v>
      </c>
    </row>
    <row r="11" spans="1:13" s="434" customFormat="1" ht="244.5" customHeight="1" x14ac:dyDescent="0.25">
      <c r="A11" s="530" t="s">
        <v>191</v>
      </c>
      <c r="B11" s="531" t="s">
        <v>305</v>
      </c>
      <c r="C11" s="665"/>
      <c r="D11" s="438" t="s">
        <v>63</v>
      </c>
      <c r="E11" s="438" t="s">
        <v>64</v>
      </c>
      <c r="F11" s="439"/>
      <c r="G11" s="439"/>
      <c r="H11" s="533">
        <f>3208+7057+3207.8</f>
        <v>13472.8</v>
      </c>
      <c r="I11" s="512">
        <f>финансир!M14</f>
        <v>12830.877</v>
      </c>
      <c r="J11" s="561" t="s">
        <v>590</v>
      </c>
      <c r="K11" s="561" t="s">
        <v>591</v>
      </c>
      <c r="L11" s="591" t="s">
        <v>592</v>
      </c>
      <c r="M11" s="433">
        <f t="shared" si="0"/>
        <v>0.95235415058488226</v>
      </c>
    </row>
    <row r="12" spans="1:13" s="434" customFormat="1" ht="25.5" x14ac:dyDescent="0.25">
      <c r="A12" s="568" t="s">
        <v>192</v>
      </c>
      <c r="B12" s="569" t="s">
        <v>193</v>
      </c>
      <c r="C12" s="665"/>
      <c r="D12" s="438"/>
      <c r="E12" s="438"/>
      <c r="F12" s="438"/>
      <c r="G12" s="438"/>
      <c r="H12" s="570">
        <f>SUM(H13:H52)</f>
        <v>4048723.0999999996</v>
      </c>
      <c r="I12" s="570">
        <f>SUM(I13:I52)</f>
        <v>3613812.1449200003</v>
      </c>
      <c r="J12" s="513"/>
      <c r="K12" s="452"/>
      <c r="L12" s="439"/>
      <c r="M12" s="433">
        <f t="shared" si="0"/>
        <v>0.89258071141491513</v>
      </c>
    </row>
    <row r="13" spans="1:13" s="434" customFormat="1" ht="153" x14ac:dyDescent="0.25">
      <c r="A13" s="530" t="s">
        <v>253</v>
      </c>
      <c r="B13" s="531" t="s">
        <v>203</v>
      </c>
      <c r="C13" s="665"/>
      <c r="D13" s="438" t="s">
        <v>63</v>
      </c>
      <c r="E13" s="438" t="s">
        <v>64</v>
      </c>
      <c r="F13" s="439"/>
      <c r="G13" s="439"/>
      <c r="H13" s="533">
        <f>2*397329+409369.2</f>
        <v>1204027.2</v>
      </c>
      <c r="I13" s="512">
        <f>финансир!M16</f>
        <v>1197681.8640000001</v>
      </c>
      <c r="J13" s="561" t="s">
        <v>513</v>
      </c>
      <c r="K13" s="561" t="s">
        <v>556</v>
      </c>
      <c r="L13" s="439"/>
      <c r="M13" s="433">
        <f t="shared" si="0"/>
        <v>0.9947299064340076</v>
      </c>
    </row>
    <row r="14" spans="1:13" s="434" customFormat="1" ht="76.5" x14ac:dyDescent="0.25">
      <c r="A14" s="530" t="s">
        <v>254</v>
      </c>
      <c r="B14" s="531" t="s">
        <v>204</v>
      </c>
      <c r="C14" s="665"/>
      <c r="D14" s="438" t="s">
        <v>63</v>
      </c>
      <c r="E14" s="438" t="s">
        <v>64</v>
      </c>
      <c r="F14" s="439"/>
      <c r="G14" s="439"/>
      <c r="H14" s="533">
        <f>2*875+901.3</f>
        <v>2651.3</v>
      </c>
      <c r="I14" s="512">
        <f>финансир!M17</f>
        <v>2249.8440000000001</v>
      </c>
      <c r="J14" s="561" t="s">
        <v>514</v>
      </c>
      <c r="K14" s="561" t="s">
        <v>557</v>
      </c>
      <c r="L14" s="439"/>
      <c r="M14" s="433">
        <f t="shared" si="0"/>
        <v>0.84858145060913515</v>
      </c>
    </row>
    <row r="15" spans="1:13" s="434" customFormat="1" ht="191.25" x14ac:dyDescent="0.25">
      <c r="A15" s="530" t="s">
        <v>255</v>
      </c>
      <c r="B15" s="531" t="s">
        <v>205</v>
      </c>
      <c r="C15" s="665"/>
      <c r="D15" s="438" t="s">
        <v>63</v>
      </c>
      <c r="E15" s="438" t="s">
        <v>64</v>
      </c>
      <c r="F15" s="439"/>
      <c r="G15" s="439"/>
      <c r="H15" s="533">
        <f>2*8469+8725.6</f>
        <v>25663.599999999999</v>
      </c>
      <c r="I15" s="512">
        <f>финансир!M18</f>
        <v>23876.866999999998</v>
      </c>
      <c r="J15" s="561" t="s">
        <v>515</v>
      </c>
      <c r="K15" s="561" t="s">
        <v>558</v>
      </c>
      <c r="L15" s="439"/>
      <c r="M15" s="433">
        <f t="shared" si="0"/>
        <v>0.9303787075858414</v>
      </c>
    </row>
    <row r="16" spans="1:13" s="434" customFormat="1" ht="178.5" x14ac:dyDescent="0.25">
      <c r="A16" s="530" t="s">
        <v>256</v>
      </c>
      <c r="B16" s="531" t="s">
        <v>306</v>
      </c>
      <c r="C16" s="665"/>
      <c r="D16" s="438" t="s">
        <v>63</v>
      </c>
      <c r="E16" s="438" t="s">
        <v>64</v>
      </c>
      <c r="F16" s="439"/>
      <c r="G16" s="439"/>
      <c r="H16" s="533">
        <f>2*402449+414644.6</f>
        <v>1219542.6000000001</v>
      </c>
      <c r="I16" s="512">
        <f>финансир!M19</f>
        <v>1157786.96</v>
      </c>
      <c r="J16" s="561" t="s">
        <v>38</v>
      </c>
      <c r="K16" s="561" t="s">
        <v>559</v>
      </c>
      <c r="L16" s="439"/>
      <c r="M16" s="433">
        <f t="shared" si="0"/>
        <v>0.94936163771564841</v>
      </c>
    </row>
    <row r="17" spans="1:13" s="434" customFormat="1" ht="165.75" x14ac:dyDescent="0.25">
      <c r="A17" s="530" t="s">
        <v>257</v>
      </c>
      <c r="B17" s="531" t="s">
        <v>206</v>
      </c>
      <c r="C17" s="665"/>
      <c r="D17" s="438" t="s">
        <v>63</v>
      </c>
      <c r="E17" s="438" t="s">
        <v>64</v>
      </c>
      <c r="F17" s="439"/>
      <c r="G17" s="439"/>
      <c r="H17" s="533">
        <f>4791.2+6743.3+3416</f>
        <v>14950.5</v>
      </c>
      <c r="I17" s="512">
        <f>финансир!M20</f>
        <v>15441.99</v>
      </c>
      <c r="J17" s="561" t="s">
        <v>39</v>
      </c>
      <c r="K17" s="592" t="s">
        <v>560</v>
      </c>
      <c r="L17" s="439"/>
      <c r="M17" s="433">
        <f t="shared" si="0"/>
        <v>1.0328744858031504</v>
      </c>
    </row>
    <row r="18" spans="1:13" s="434" customFormat="1" ht="165.75" x14ac:dyDescent="0.25">
      <c r="A18" s="530" t="s">
        <v>258</v>
      </c>
      <c r="B18" s="531" t="s">
        <v>207</v>
      </c>
      <c r="C18" s="665"/>
      <c r="D18" s="438" t="s">
        <v>63</v>
      </c>
      <c r="E18" s="438" t="s">
        <v>64</v>
      </c>
      <c r="F18" s="439"/>
      <c r="G18" s="439"/>
      <c r="H18" s="533">
        <f>35100+33750+34360.4</f>
        <v>103210.4</v>
      </c>
      <c r="I18" s="512">
        <f>финансир!M21</f>
        <v>101270.3</v>
      </c>
      <c r="J18" s="561" t="s">
        <v>147</v>
      </c>
      <c r="K18" s="592" t="s">
        <v>561</v>
      </c>
      <c r="L18" s="439"/>
      <c r="M18" s="433">
        <f t="shared" si="0"/>
        <v>0.98120247571950125</v>
      </c>
    </row>
    <row r="19" spans="1:13" s="434" customFormat="1" ht="76.5" x14ac:dyDescent="0.25">
      <c r="A19" s="530" t="s">
        <v>259</v>
      </c>
      <c r="B19" s="531" t="s">
        <v>208</v>
      </c>
      <c r="C19" s="665"/>
      <c r="D19" s="438" t="s">
        <v>63</v>
      </c>
      <c r="E19" s="438" t="s">
        <v>64</v>
      </c>
      <c r="F19" s="439"/>
      <c r="G19" s="439"/>
      <c r="H19" s="533">
        <f>2*2280+2350.4</f>
        <v>6910.4</v>
      </c>
      <c r="I19" s="512">
        <f>финансир!M22</f>
        <v>6903.56</v>
      </c>
      <c r="J19" s="561" t="s">
        <v>497</v>
      </c>
      <c r="K19" s="565" t="s">
        <v>21</v>
      </c>
      <c r="L19" s="561"/>
      <c r="M19" s="433">
        <f t="shared" si="0"/>
        <v>0.99901018754341298</v>
      </c>
    </row>
    <row r="20" spans="1:13" s="434" customFormat="1" ht="191.25" x14ac:dyDescent="0.25">
      <c r="A20" s="530" t="s">
        <v>260</v>
      </c>
      <c r="B20" s="531" t="s">
        <v>209</v>
      </c>
      <c r="C20" s="665"/>
      <c r="D20" s="438" t="s">
        <v>63</v>
      </c>
      <c r="E20" s="438" t="s">
        <v>64</v>
      </c>
      <c r="F20" s="439"/>
      <c r="G20" s="439"/>
      <c r="H20" s="533">
        <f>97+97.1+100</f>
        <v>294.10000000000002</v>
      </c>
      <c r="I20" s="512">
        <f>финансир!M23</f>
        <v>0</v>
      </c>
      <c r="J20" s="561" t="s">
        <v>498</v>
      </c>
      <c r="K20" s="565" t="s">
        <v>150</v>
      </c>
      <c r="L20" s="439"/>
      <c r="M20" s="433">
        <f t="shared" si="0"/>
        <v>0</v>
      </c>
    </row>
    <row r="21" spans="1:13" s="434" customFormat="1" ht="165.75" x14ac:dyDescent="0.25">
      <c r="A21" s="530" t="s">
        <v>261</v>
      </c>
      <c r="B21" s="531" t="s">
        <v>210</v>
      </c>
      <c r="C21" s="665"/>
      <c r="D21" s="438" t="s">
        <v>63</v>
      </c>
      <c r="E21" s="438" t="s">
        <v>64</v>
      </c>
      <c r="F21" s="439"/>
      <c r="G21" s="439"/>
      <c r="H21" s="533">
        <f>2*78636.4+81019.3</f>
        <v>238292.09999999998</v>
      </c>
      <c r="I21" s="512">
        <f>финансир!M24</f>
        <v>252835.52</v>
      </c>
      <c r="J21" s="561" t="s">
        <v>40</v>
      </c>
      <c r="K21" s="586" t="s">
        <v>562</v>
      </c>
      <c r="L21" s="439"/>
      <c r="M21" s="433">
        <f t="shared" si="0"/>
        <v>1.0610319016031167</v>
      </c>
    </row>
    <row r="22" spans="1:13" s="434" customFormat="1" ht="89.25" x14ac:dyDescent="0.25">
      <c r="A22" s="530" t="s">
        <v>262</v>
      </c>
      <c r="B22" s="531" t="s">
        <v>211</v>
      </c>
      <c r="C22" s="665"/>
      <c r="D22" s="438" t="s">
        <v>63</v>
      </c>
      <c r="E22" s="438" t="s">
        <v>64</v>
      </c>
      <c r="F22" s="439"/>
      <c r="G22" s="439"/>
      <c r="H22" s="533">
        <f>1377+1419.4</f>
        <v>2796.4</v>
      </c>
      <c r="I22" s="512">
        <f>финансир!M25</f>
        <v>7710.9459999999999</v>
      </c>
      <c r="J22" s="513" t="s">
        <v>75</v>
      </c>
      <c r="K22" s="432" t="s">
        <v>563</v>
      </c>
      <c r="L22" s="439"/>
      <c r="M22" s="433">
        <f t="shared" si="0"/>
        <v>2.7574545844657417</v>
      </c>
    </row>
    <row r="23" spans="1:13" s="434" customFormat="1" ht="63.75" x14ac:dyDescent="0.25">
      <c r="A23" s="530" t="s">
        <v>263</v>
      </c>
      <c r="B23" s="531" t="s">
        <v>212</v>
      </c>
      <c r="C23" s="665"/>
      <c r="D23" s="438" t="s">
        <v>63</v>
      </c>
      <c r="E23" s="438" t="s">
        <v>64</v>
      </c>
      <c r="F23" s="439"/>
      <c r="G23" s="439"/>
      <c r="H23" s="533">
        <f>46.2+46.2+47.6</f>
        <v>140</v>
      </c>
      <c r="I23" s="512">
        <f>финансир!M26</f>
        <v>52</v>
      </c>
      <c r="J23" s="561" t="s">
        <v>41</v>
      </c>
      <c r="K23" s="452" t="s">
        <v>22</v>
      </c>
      <c r="L23" s="439"/>
      <c r="M23" s="433">
        <f t="shared" si="0"/>
        <v>0.37142857142857144</v>
      </c>
    </row>
    <row r="24" spans="1:13" s="434" customFormat="1" ht="76.5" x14ac:dyDescent="0.25">
      <c r="A24" s="530" t="s">
        <v>264</v>
      </c>
      <c r="B24" s="531" t="s">
        <v>213</v>
      </c>
      <c r="C24" s="665"/>
      <c r="D24" s="438" t="s">
        <v>63</v>
      </c>
      <c r="E24" s="438" t="s">
        <v>64</v>
      </c>
      <c r="F24" s="439"/>
      <c r="G24" s="439"/>
      <c r="H24" s="533">
        <f>2*148+152.3</f>
        <v>448.3</v>
      </c>
      <c r="I24" s="512">
        <f>финансир!M27</f>
        <v>484.48500000000001</v>
      </c>
      <c r="J24" s="561" t="s">
        <v>499</v>
      </c>
      <c r="K24" s="561" t="s">
        <v>564</v>
      </c>
      <c r="L24" s="439"/>
      <c r="M24" s="433">
        <f t="shared" si="0"/>
        <v>1.0807160383671648</v>
      </c>
    </row>
    <row r="25" spans="1:13" s="434" customFormat="1" ht="183.75" customHeight="1" x14ac:dyDescent="0.25">
      <c r="A25" s="530" t="s">
        <v>265</v>
      </c>
      <c r="B25" s="531" t="s">
        <v>307</v>
      </c>
      <c r="C25" s="665"/>
      <c r="D25" s="438" t="s">
        <v>63</v>
      </c>
      <c r="E25" s="438" t="s">
        <v>64</v>
      </c>
      <c r="F25" s="439"/>
      <c r="G25" s="439"/>
      <c r="H25" s="533">
        <f>2*696.3+717.5</f>
        <v>2110.1</v>
      </c>
      <c r="I25" s="512">
        <f>финансир!M28</f>
        <v>2253.9589999999998</v>
      </c>
      <c r="J25" s="561" t="s">
        <v>500</v>
      </c>
      <c r="K25" s="561" t="s">
        <v>565</v>
      </c>
      <c r="L25" s="439"/>
      <c r="M25" s="433">
        <f t="shared" si="0"/>
        <v>1.0681763897445617</v>
      </c>
    </row>
    <row r="26" spans="1:13" s="434" customFormat="1" ht="51" x14ac:dyDescent="0.25">
      <c r="A26" s="530" t="s">
        <v>266</v>
      </c>
      <c r="B26" s="531" t="s">
        <v>214</v>
      </c>
      <c r="C26" s="665"/>
      <c r="D26" s="438" t="s">
        <v>64</v>
      </c>
      <c r="E26" s="438" t="s">
        <v>64</v>
      </c>
      <c r="F26" s="451"/>
      <c r="G26" s="451"/>
      <c r="H26" s="533">
        <v>0</v>
      </c>
      <c r="I26" s="512">
        <f>финансир!M29</f>
        <v>0</v>
      </c>
      <c r="J26" s="561"/>
      <c r="K26" s="452"/>
      <c r="L26" s="439"/>
      <c r="M26" s="433" t="e">
        <f t="shared" si="0"/>
        <v>#DIV/0!</v>
      </c>
    </row>
    <row r="27" spans="1:13" s="434" customFormat="1" ht="89.25" x14ac:dyDescent="0.25">
      <c r="A27" s="530" t="s">
        <v>267</v>
      </c>
      <c r="B27" s="531" t="s">
        <v>215</v>
      </c>
      <c r="C27" s="666"/>
      <c r="D27" s="439"/>
      <c r="E27" s="439"/>
      <c r="F27" s="439"/>
      <c r="G27" s="439"/>
      <c r="H27" s="533">
        <f>2*666.4+686.5</f>
        <v>2019.3</v>
      </c>
      <c r="I27" s="512">
        <f>финансир!M30</f>
        <v>1847.95</v>
      </c>
      <c r="J27" s="561" t="s">
        <v>501</v>
      </c>
      <c r="K27" s="565" t="s">
        <v>23</v>
      </c>
      <c r="L27" s="439"/>
      <c r="M27" s="433">
        <f t="shared" si="0"/>
        <v>0.91514386173426443</v>
      </c>
    </row>
    <row r="28" spans="1:13" s="434" customFormat="1" ht="309" customHeight="1" x14ac:dyDescent="0.25">
      <c r="A28" s="675" t="s">
        <v>268</v>
      </c>
      <c r="B28" s="675" t="s">
        <v>168</v>
      </c>
      <c r="C28" s="438" t="s">
        <v>3</v>
      </c>
      <c r="D28" s="438" t="s">
        <v>63</v>
      </c>
      <c r="E28" s="438" t="s">
        <v>64</v>
      </c>
      <c r="F28" s="679"/>
      <c r="G28" s="679"/>
      <c r="H28" s="533">
        <f>3*3402.8</f>
        <v>10208.400000000001</v>
      </c>
      <c r="I28" s="512">
        <f>финансир!M31</f>
        <v>2035.32</v>
      </c>
      <c r="J28" s="681" t="s">
        <v>155</v>
      </c>
      <c r="K28" s="513" t="s">
        <v>593</v>
      </c>
      <c r="L28" s="439"/>
      <c r="M28" s="433">
        <f t="shared" si="0"/>
        <v>0.19937698366051484</v>
      </c>
    </row>
    <row r="29" spans="1:13" s="434" customFormat="1" ht="165.75" x14ac:dyDescent="0.25">
      <c r="A29" s="676"/>
      <c r="B29" s="676"/>
      <c r="C29" s="438" t="s">
        <v>482</v>
      </c>
      <c r="D29" s="438" t="s">
        <v>63</v>
      </c>
      <c r="E29" s="438" t="s">
        <v>64</v>
      </c>
      <c r="F29" s="680"/>
      <c r="G29" s="680"/>
      <c r="H29" s="533">
        <f>3*54.5</f>
        <v>163.5</v>
      </c>
      <c r="I29" s="512">
        <f>финансир!M32</f>
        <v>2237.6</v>
      </c>
      <c r="J29" s="682"/>
      <c r="K29" s="432" t="s">
        <v>24</v>
      </c>
      <c r="L29" s="452" t="s">
        <v>25</v>
      </c>
      <c r="M29" s="433">
        <f t="shared" si="0"/>
        <v>13.685626911314984</v>
      </c>
    </row>
    <row r="30" spans="1:13" s="434" customFormat="1" ht="63.75" x14ac:dyDescent="0.25">
      <c r="A30" s="530" t="s">
        <v>269</v>
      </c>
      <c r="B30" s="531" t="s">
        <v>308</v>
      </c>
      <c r="C30" s="659" t="s">
        <v>481</v>
      </c>
      <c r="D30" s="438" t="s">
        <v>63</v>
      </c>
      <c r="E30" s="438" t="s">
        <v>64</v>
      </c>
      <c r="F30" s="439"/>
      <c r="G30" s="439"/>
      <c r="H30" s="533">
        <f>3*241.8</f>
        <v>725.40000000000009</v>
      </c>
      <c r="I30" s="512">
        <f>финансир!M33</f>
        <v>725.4</v>
      </c>
      <c r="J30" s="561" t="s">
        <v>502</v>
      </c>
      <c r="K30" s="572" t="s">
        <v>151</v>
      </c>
      <c r="L30" s="439"/>
      <c r="M30" s="433">
        <f t="shared" si="0"/>
        <v>0.99999999999999989</v>
      </c>
    </row>
    <row r="31" spans="1:13" s="434" customFormat="1" ht="63.75" x14ac:dyDescent="0.25">
      <c r="A31" s="530" t="s">
        <v>270</v>
      </c>
      <c r="B31" s="531" t="s">
        <v>216</v>
      </c>
      <c r="C31" s="669"/>
      <c r="D31" s="438" t="s">
        <v>63</v>
      </c>
      <c r="E31" s="438" t="s">
        <v>64</v>
      </c>
      <c r="F31" s="439"/>
      <c r="G31" s="439"/>
      <c r="H31" s="533">
        <f>2*1.7+1.8</f>
        <v>5.2</v>
      </c>
      <c r="I31" s="512">
        <f>финансир!M34</f>
        <v>0</v>
      </c>
      <c r="J31" s="561" t="s">
        <v>503</v>
      </c>
      <c r="K31" s="572" t="s">
        <v>26</v>
      </c>
      <c r="L31" s="439"/>
      <c r="M31" s="433">
        <f t="shared" si="0"/>
        <v>0</v>
      </c>
    </row>
    <row r="32" spans="1:13" s="434" customFormat="1" ht="76.5" x14ac:dyDescent="0.25">
      <c r="A32" s="530" t="s">
        <v>271</v>
      </c>
      <c r="B32" s="531" t="s">
        <v>217</v>
      </c>
      <c r="C32" s="669"/>
      <c r="D32" s="438" t="s">
        <v>63</v>
      </c>
      <c r="E32" s="438" t="s">
        <v>64</v>
      </c>
      <c r="F32" s="439"/>
      <c r="G32" s="439"/>
      <c r="H32" s="533">
        <f>2*6257+6446.5</f>
        <v>18960.5</v>
      </c>
      <c r="I32" s="512">
        <f>финансир!M35</f>
        <v>14585</v>
      </c>
      <c r="J32" s="561" t="s">
        <v>504</v>
      </c>
      <c r="K32" s="432" t="s">
        <v>566</v>
      </c>
      <c r="L32" s="439"/>
      <c r="M32" s="433">
        <f t="shared" si="0"/>
        <v>0.76923076923076927</v>
      </c>
    </row>
    <row r="33" spans="1:13" s="434" customFormat="1" ht="89.25" x14ac:dyDescent="0.25">
      <c r="A33" s="530" t="s">
        <v>272</v>
      </c>
      <c r="B33" s="531" t="s">
        <v>218</v>
      </c>
      <c r="C33" s="669"/>
      <c r="D33" s="438" t="s">
        <v>63</v>
      </c>
      <c r="E33" s="438" t="s">
        <v>64</v>
      </c>
      <c r="F33" s="439"/>
      <c r="G33" s="439"/>
      <c r="H33" s="533">
        <f>2*2671+2751.6</f>
        <v>8093.6</v>
      </c>
      <c r="I33" s="512">
        <f>финансир!M36</f>
        <v>8299.14</v>
      </c>
      <c r="J33" s="561" t="s">
        <v>76</v>
      </c>
      <c r="K33" s="561" t="s">
        <v>567</v>
      </c>
      <c r="L33" s="439"/>
      <c r="M33" s="433">
        <f t="shared" si="0"/>
        <v>1.0253953741227635</v>
      </c>
    </row>
    <row r="34" spans="1:13" s="537" customFormat="1" ht="83.25" customHeight="1" x14ac:dyDescent="0.25">
      <c r="A34" s="530" t="s">
        <v>273</v>
      </c>
      <c r="B34" s="531" t="s">
        <v>219</v>
      </c>
      <c r="C34" s="669"/>
      <c r="D34" s="444" t="s">
        <v>63</v>
      </c>
      <c r="E34" s="444" t="s">
        <v>64</v>
      </c>
      <c r="F34" s="532"/>
      <c r="G34" s="532"/>
      <c r="H34" s="533">
        <f>2*6321+6512.5</f>
        <v>19154.5</v>
      </c>
      <c r="I34" s="512">
        <f>финансир!M37</f>
        <v>16483.55</v>
      </c>
      <c r="J34" s="561" t="s">
        <v>146</v>
      </c>
      <c r="K34" s="513" t="s">
        <v>516</v>
      </c>
      <c r="L34" s="532"/>
      <c r="M34" s="536">
        <f t="shared" si="0"/>
        <v>0.86055757132788635</v>
      </c>
    </row>
    <row r="35" spans="1:13" s="434" customFormat="1" ht="76.5" x14ac:dyDescent="0.25">
      <c r="A35" s="530" t="s">
        <v>274</v>
      </c>
      <c r="B35" s="531" t="s">
        <v>220</v>
      </c>
      <c r="C35" s="669"/>
      <c r="D35" s="438" t="s">
        <v>63</v>
      </c>
      <c r="E35" s="438" t="s">
        <v>64</v>
      </c>
      <c r="F35" s="439"/>
      <c r="G35" s="439"/>
      <c r="H35" s="533">
        <f>2*2180+2245.3</f>
        <v>6605.3</v>
      </c>
      <c r="I35" s="512">
        <f>финансир!M38</f>
        <v>4099.16</v>
      </c>
      <c r="J35" s="561" t="s">
        <v>505</v>
      </c>
      <c r="K35" s="561" t="s">
        <v>568</v>
      </c>
      <c r="L35" s="439"/>
      <c r="M35" s="433">
        <f t="shared" si="0"/>
        <v>0.62058649872072424</v>
      </c>
    </row>
    <row r="36" spans="1:13" s="434" customFormat="1" ht="76.5" x14ac:dyDescent="0.25">
      <c r="A36" s="530" t="s">
        <v>275</v>
      </c>
      <c r="B36" s="531" t="s">
        <v>221</v>
      </c>
      <c r="C36" s="669"/>
      <c r="D36" s="438" t="s">
        <v>63</v>
      </c>
      <c r="E36" s="438" t="s">
        <v>64</v>
      </c>
      <c r="F36" s="439"/>
      <c r="G36" s="439"/>
      <c r="H36" s="533">
        <f>2*680.2+700.9</f>
        <v>2061.3000000000002</v>
      </c>
      <c r="I36" s="512">
        <f>финансир!M39</f>
        <v>2844.75</v>
      </c>
      <c r="J36" s="561" t="s">
        <v>506</v>
      </c>
      <c r="K36" s="452" t="s">
        <v>569</v>
      </c>
      <c r="L36" s="439"/>
      <c r="M36" s="433">
        <f t="shared" si="0"/>
        <v>1.3800756803958665</v>
      </c>
    </row>
    <row r="37" spans="1:13" s="434" customFormat="1" ht="76.5" x14ac:dyDescent="0.25">
      <c r="A37" s="530" t="s">
        <v>276</v>
      </c>
      <c r="B37" s="531" t="s">
        <v>169</v>
      </c>
      <c r="C37" s="669"/>
      <c r="D37" s="438" t="s">
        <v>63</v>
      </c>
      <c r="E37" s="438" t="s">
        <v>64</v>
      </c>
      <c r="F37" s="439"/>
      <c r="G37" s="439"/>
      <c r="H37" s="533">
        <f>3*8724.6</f>
        <v>26173.800000000003</v>
      </c>
      <c r="I37" s="512">
        <f>финансир!M40</f>
        <v>23143.53</v>
      </c>
      <c r="J37" s="561" t="s">
        <v>507</v>
      </c>
      <c r="K37" s="452" t="s">
        <v>570</v>
      </c>
      <c r="L37" s="439"/>
      <c r="M37" s="433">
        <f t="shared" si="0"/>
        <v>0.88422506475941576</v>
      </c>
    </row>
    <row r="38" spans="1:13" s="434" customFormat="1" ht="178.5" x14ac:dyDescent="0.25">
      <c r="A38" s="530" t="s">
        <v>277</v>
      </c>
      <c r="B38" s="531" t="s">
        <v>222</v>
      </c>
      <c r="C38" s="669"/>
      <c r="D38" s="438" t="s">
        <v>63</v>
      </c>
      <c r="E38" s="438" t="s">
        <v>64</v>
      </c>
      <c r="F38" s="439"/>
      <c r="G38" s="439"/>
      <c r="H38" s="533">
        <f>1071+2500</f>
        <v>3571</v>
      </c>
      <c r="I38" s="512">
        <f>финансир!M41</f>
        <v>4886.91</v>
      </c>
      <c r="J38" s="442" t="s">
        <v>77</v>
      </c>
      <c r="K38" s="573" t="s">
        <v>521</v>
      </c>
      <c r="L38" s="439"/>
      <c r="M38" s="433">
        <f t="shared" si="0"/>
        <v>1.3684990198823859</v>
      </c>
    </row>
    <row r="39" spans="1:13" s="434" customFormat="1" ht="102" x14ac:dyDescent="0.25">
      <c r="A39" s="530" t="s">
        <v>278</v>
      </c>
      <c r="B39" s="531" t="s">
        <v>223</v>
      </c>
      <c r="C39" s="669"/>
      <c r="D39" s="438" t="s">
        <v>65</v>
      </c>
      <c r="E39" s="438" t="s">
        <v>65</v>
      </c>
      <c r="F39" s="439"/>
      <c r="G39" s="439"/>
      <c r="H39" s="533">
        <v>57200</v>
      </c>
      <c r="I39" s="512">
        <f>финансир!M42</f>
        <v>57716.800000000003</v>
      </c>
      <c r="J39" s="513" t="s">
        <v>78</v>
      </c>
      <c r="K39" s="561" t="s">
        <v>571</v>
      </c>
      <c r="L39" s="439"/>
      <c r="M39" s="433">
        <f t="shared" si="0"/>
        <v>1.009034965034965</v>
      </c>
    </row>
    <row r="40" spans="1:13" s="434" customFormat="1" ht="25.5" x14ac:dyDescent="0.25">
      <c r="A40" s="530" t="s">
        <v>279</v>
      </c>
      <c r="B40" s="531" t="s">
        <v>224</v>
      </c>
      <c r="C40" s="669"/>
      <c r="D40" s="438" t="s">
        <v>64</v>
      </c>
      <c r="E40" s="438" t="s">
        <v>64</v>
      </c>
      <c r="F40" s="439"/>
      <c r="G40" s="439"/>
      <c r="H40" s="533">
        <v>0</v>
      </c>
      <c r="I40" s="512">
        <f>финансир!M43</f>
        <v>27</v>
      </c>
      <c r="J40" s="574"/>
      <c r="K40" s="432" t="s">
        <v>68</v>
      </c>
      <c r="L40" s="439"/>
      <c r="M40" s="433" t="e">
        <f t="shared" si="0"/>
        <v>#DIV/0!</v>
      </c>
    </row>
    <row r="41" spans="1:13" s="434" customFormat="1" ht="89.25" x14ac:dyDescent="0.25">
      <c r="A41" s="530" t="s">
        <v>280</v>
      </c>
      <c r="B41" s="531" t="s">
        <v>225</v>
      </c>
      <c r="C41" s="669"/>
      <c r="D41" s="438" t="s">
        <v>63</v>
      </c>
      <c r="E41" s="438" t="s">
        <v>64</v>
      </c>
      <c r="F41" s="439"/>
      <c r="G41" s="439"/>
      <c r="H41" s="533">
        <f>2*12.1+12.5</f>
        <v>36.700000000000003</v>
      </c>
      <c r="I41" s="512">
        <f>финансир!M44</f>
        <v>17.48</v>
      </c>
      <c r="J41" s="561" t="s">
        <v>508</v>
      </c>
      <c r="K41" s="572" t="s">
        <v>0</v>
      </c>
      <c r="L41" s="439"/>
      <c r="M41" s="433">
        <f t="shared" si="0"/>
        <v>0.4762942779291553</v>
      </c>
    </row>
    <row r="42" spans="1:13" s="434" customFormat="1" ht="76.5" x14ac:dyDescent="0.25">
      <c r="A42" s="530" t="s">
        <v>281</v>
      </c>
      <c r="B42" s="531" t="s">
        <v>226</v>
      </c>
      <c r="C42" s="669"/>
      <c r="D42" s="438" t="s">
        <v>63</v>
      </c>
      <c r="E42" s="438" t="s">
        <v>64</v>
      </c>
      <c r="F42" s="439"/>
      <c r="G42" s="439"/>
      <c r="H42" s="533">
        <f>2*653.2+673.1</f>
        <v>1979.5</v>
      </c>
      <c r="I42" s="512">
        <f>финансир!M45</f>
        <v>1114.3900000000001</v>
      </c>
      <c r="J42" s="561" t="s">
        <v>79</v>
      </c>
      <c r="K42" s="561" t="s">
        <v>572</v>
      </c>
      <c r="L42" s="439"/>
      <c r="M42" s="433">
        <f t="shared" si="0"/>
        <v>0.56296539530184397</v>
      </c>
    </row>
    <row r="43" spans="1:13" s="434" customFormat="1" ht="318.75" x14ac:dyDescent="0.25">
      <c r="A43" s="530" t="s">
        <v>282</v>
      </c>
      <c r="B43" s="531" t="s">
        <v>170</v>
      </c>
      <c r="C43" s="669"/>
      <c r="D43" s="438" t="s">
        <v>63</v>
      </c>
      <c r="E43" s="438" t="s">
        <v>64</v>
      </c>
      <c r="F43" s="439"/>
      <c r="G43" s="439"/>
      <c r="H43" s="533">
        <f>2*4600+4739</f>
        <v>13939</v>
      </c>
      <c r="I43" s="512">
        <f>финансир!M46</f>
        <v>13939</v>
      </c>
      <c r="J43" s="561" t="s">
        <v>509</v>
      </c>
      <c r="K43" s="565" t="s">
        <v>6</v>
      </c>
      <c r="L43" s="439"/>
      <c r="M43" s="433">
        <f t="shared" si="0"/>
        <v>1</v>
      </c>
    </row>
    <row r="44" spans="1:13" s="434" customFormat="1" ht="89.25" x14ac:dyDescent="0.25">
      <c r="A44" s="530" t="s">
        <v>309</v>
      </c>
      <c r="B44" s="531" t="s">
        <v>310</v>
      </c>
      <c r="C44" s="669"/>
      <c r="D44" s="438" t="s">
        <v>63</v>
      </c>
      <c r="E44" s="438" t="s">
        <v>64</v>
      </c>
      <c r="F44" s="439"/>
      <c r="G44" s="439"/>
      <c r="H44" s="533">
        <f>2*26.5+27.3</f>
        <v>80.3</v>
      </c>
      <c r="I44" s="512">
        <f>финансир!M47</f>
        <v>39.9</v>
      </c>
      <c r="J44" s="561" t="s">
        <v>510</v>
      </c>
      <c r="K44" s="452" t="s">
        <v>573</v>
      </c>
      <c r="L44" s="492"/>
      <c r="M44" s="433">
        <f t="shared" si="0"/>
        <v>0.49688667496886674</v>
      </c>
    </row>
    <row r="45" spans="1:13" s="434" customFormat="1" ht="89.25" x14ac:dyDescent="0.25">
      <c r="A45" s="530" t="s">
        <v>311</v>
      </c>
      <c r="B45" s="531" t="s">
        <v>312</v>
      </c>
      <c r="C45" s="669"/>
      <c r="D45" s="438" t="s">
        <v>63</v>
      </c>
      <c r="E45" s="438" t="s">
        <v>64</v>
      </c>
      <c r="F45" s="439"/>
      <c r="G45" s="439"/>
      <c r="H45" s="533">
        <f>2*301.8+311</f>
        <v>914.6</v>
      </c>
      <c r="I45" s="512">
        <f>финансир!M48</f>
        <v>601.86</v>
      </c>
      <c r="J45" s="561" t="s">
        <v>511</v>
      </c>
      <c r="K45" s="432" t="s">
        <v>596</v>
      </c>
      <c r="L45" s="439"/>
      <c r="M45" s="433">
        <f t="shared" si="0"/>
        <v>0.65805816750492019</v>
      </c>
    </row>
    <row r="46" spans="1:13" s="434" customFormat="1" ht="89.25" x14ac:dyDescent="0.25">
      <c r="A46" s="530" t="s">
        <v>313</v>
      </c>
      <c r="B46" s="531" t="s">
        <v>227</v>
      </c>
      <c r="C46" s="669"/>
      <c r="D46" s="438" t="s">
        <v>63</v>
      </c>
      <c r="E46" s="438" t="s">
        <v>64</v>
      </c>
      <c r="F46" s="439"/>
      <c r="G46" s="439"/>
      <c r="H46" s="533">
        <f>2*2806+2890.9</f>
        <v>8502.9</v>
      </c>
      <c r="I46" s="512">
        <f>финансир!M49</f>
        <v>4400.47</v>
      </c>
      <c r="J46" s="561" t="s">
        <v>512</v>
      </c>
      <c r="K46" s="561" t="s">
        <v>574</v>
      </c>
      <c r="L46" s="439"/>
      <c r="M46" s="433">
        <f t="shared" si="0"/>
        <v>0.51752578532030258</v>
      </c>
    </row>
    <row r="47" spans="1:13" s="434" customFormat="1" ht="89.25" x14ac:dyDescent="0.25">
      <c r="A47" s="530" t="s">
        <v>314</v>
      </c>
      <c r="B47" s="531" t="s">
        <v>315</v>
      </c>
      <c r="C47" s="669"/>
      <c r="D47" s="438" t="s">
        <v>65</v>
      </c>
      <c r="E47" s="438" t="s">
        <v>65</v>
      </c>
      <c r="F47" s="439"/>
      <c r="G47" s="439"/>
      <c r="H47" s="533">
        <v>2100</v>
      </c>
      <c r="I47" s="512">
        <f>финансир!M50</f>
        <v>0</v>
      </c>
      <c r="J47" s="561" t="s">
        <v>80</v>
      </c>
      <c r="K47" s="572" t="s">
        <v>1</v>
      </c>
      <c r="L47" s="439"/>
      <c r="M47" s="433">
        <f t="shared" si="0"/>
        <v>0</v>
      </c>
    </row>
    <row r="48" spans="1:13" s="434" customFormat="1" ht="102" x14ac:dyDescent="0.25">
      <c r="A48" s="530" t="s">
        <v>316</v>
      </c>
      <c r="B48" s="531" t="s">
        <v>317</v>
      </c>
      <c r="C48" s="669"/>
      <c r="D48" s="438" t="s">
        <v>63</v>
      </c>
      <c r="E48" s="438" t="s">
        <v>64</v>
      </c>
      <c r="F48" s="514"/>
      <c r="G48" s="514"/>
      <c r="H48" s="533">
        <f>3*7919.3</f>
        <v>23757.9</v>
      </c>
      <c r="I48" s="512">
        <f>финансир!L51</f>
        <v>18480.96</v>
      </c>
      <c r="J48" s="442" t="s">
        <v>523</v>
      </c>
      <c r="K48" s="432" t="s">
        <v>522</v>
      </c>
      <c r="L48" s="439"/>
      <c r="M48" s="433">
        <f t="shared" si="0"/>
        <v>0.77788693445127721</v>
      </c>
    </row>
    <row r="49" spans="1:13" s="434" customFormat="1" ht="63.75" x14ac:dyDescent="0.25">
      <c r="A49" s="530" t="s">
        <v>318</v>
      </c>
      <c r="B49" s="531" t="s">
        <v>319</v>
      </c>
      <c r="C49" s="669"/>
      <c r="D49" s="438" t="s">
        <v>63</v>
      </c>
      <c r="E49" s="438" t="s">
        <v>64</v>
      </c>
      <c r="F49" s="514"/>
      <c r="G49" s="514"/>
      <c r="H49" s="533">
        <f>3*28396.9</f>
        <v>85190.700000000012</v>
      </c>
      <c r="I49" s="512">
        <f>финансир!L52</f>
        <v>102725.36795</v>
      </c>
      <c r="J49" s="561" t="s">
        <v>81</v>
      </c>
      <c r="K49" s="561" t="s">
        <v>575</v>
      </c>
      <c r="L49" s="439"/>
      <c r="M49" s="433">
        <f t="shared" si="0"/>
        <v>1.2058284290421371</v>
      </c>
    </row>
    <row r="50" spans="1:13" s="434" customFormat="1" ht="63.75" x14ac:dyDescent="0.25">
      <c r="A50" s="530" t="s">
        <v>320</v>
      </c>
      <c r="B50" s="531" t="s">
        <v>228</v>
      </c>
      <c r="C50" s="669"/>
      <c r="D50" s="438" t="s">
        <v>63</v>
      </c>
      <c r="E50" s="438" t="s">
        <v>64</v>
      </c>
      <c r="F50" s="514"/>
      <c r="G50" s="514"/>
      <c r="H50" s="533">
        <f>3*69</f>
        <v>207</v>
      </c>
      <c r="I50" s="512">
        <f>финансир!L53</f>
        <v>124.70672999999999</v>
      </c>
      <c r="J50" s="561" t="s">
        <v>42</v>
      </c>
      <c r="K50" s="561" t="s">
        <v>576</v>
      </c>
      <c r="L50" s="439"/>
      <c r="M50" s="433">
        <f t="shared" si="0"/>
        <v>0.60244797101449277</v>
      </c>
    </row>
    <row r="51" spans="1:13" s="434" customFormat="1" ht="51" x14ac:dyDescent="0.25">
      <c r="A51" s="530" t="s">
        <v>321</v>
      </c>
      <c r="B51" s="531" t="s">
        <v>229</v>
      </c>
      <c r="C51" s="669"/>
      <c r="D51" s="438" t="s">
        <v>63</v>
      </c>
      <c r="E51" s="438" t="s">
        <v>64</v>
      </c>
      <c r="F51" s="514"/>
      <c r="G51" s="514"/>
      <c r="H51" s="533">
        <f>3*311735.9</f>
        <v>935207.70000000007</v>
      </c>
      <c r="I51" s="512">
        <f>финансир!L54</f>
        <v>564843.40266999998</v>
      </c>
      <c r="J51" s="561" t="s">
        <v>43</v>
      </c>
      <c r="K51" s="561" t="s">
        <v>577</v>
      </c>
      <c r="L51" s="439"/>
      <c r="M51" s="433">
        <f t="shared" si="0"/>
        <v>0.60397642434937171</v>
      </c>
    </row>
    <row r="52" spans="1:13" s="434" customFormat="1" ht="63.75" x14ac:dyDescent="0.25">
      <c r="A52" s="530" t="s">
        <v>322</v>
      </c>
      <c r="B52" s="531" t="s">
        <v>230</v>
      </c>
      <c r="C52" s="669"/>
      <c r="D52" s="438" t="s">
        <v>63</v>
      </c>
      <c r="E52" s="438" t="s">
        <v>64</v>
      </c>
      <c r="F52" s="514"/>
      <c r="G52" s="514"/>
      <c r="H52" s="533">
        <f>3*276</f>
        <v>828</v>
      </c>
      <c r="I52" s="512">
        <f>финансир!L55</f>
        <v>44.202570000000001</v>
      </c>
      <c r="J52" s="561" t="s">
        <v>82</v>
      </c>
      <c r="K52" s="452" t="s">
        <v>578</v>
      </c>
      <c r="L52" s="439"/>
      <c r="M52" s="433">
        <f t="shared" si="0"/>
        <v>5.3384746376811593E-2</v>
      </c>
    </row>
    <row r="53" spans="1:13" s="434" customFormat="1" ht="89.25" x14ac:dyDescent="0.25">
      <c r="A53" s="530" t="s">
        <v>323</v>
      </c>
      <c r="B53" s="531" t="s">
        <v>231</v>
      </c>
      <c r="C53" s="669"/>
      <c r="D53" s="438" t="s">
        <v>63</v>
      </c>
      <c r="E53" s="438" t="s">
        <v>64</v>
      </c>
      <c r="F53" s="439"/>
      <c r="G53" s="439"/>
      <c r="H53" s="533">
        <f>2*174268+179549.2</f>
        <v>528085.19999999995</v>
      </c>
      <c r="I53" s="512">
        <f>финансир!M56</f>
        <v>392580.815</v>
      </c>
      <c r="J53" s="561" t="s">
        <v>44</v>
      </c>
      <c r="K53" s="513" t="s">
        <v>579</v>
      </c>
      <c r="L53" s="439"/>
      <c r="M53" s="433">
        <f>I53/H53</f>
        <v>0.74340431241019445</v>
      </c>
    </row>
    <row r="54" spans="1:13" s="434" customFormat="1" ht="76.5" x14ac:dyDescent="0.25">
      <c r="A54" s="530" t="s">
        <v>324</v>
      </c>
      <c r="B54" s="575" t="s">
        <v>325</v>
      </c>
      <c r="C54" s="669"/>
      <c r="D54" s="438" t="s">
        <v>63</v>
      </c>
      <c r="E54" s="438" t="s">
        <v>64</v>
      </c>
      <c r="F54" s="439"/>
      <c r="G54" s="439"/>
      <c r="H54" s="533">
        <f>2*78330+80703</f>
        <v>237363</v>
      </c>
      <c r="I54" s="512">
        <f>финансир!M57</f>
        <v>173341.75</v>
      </c>
      <c r="J54" s="561" t="s">
        <v>45</v>
      </c>
      <c r="K54" s="432" t="s">
        <v>580</v>
      </c>
      <c r="L54" s="439"/>
      <c r="M54" s="433">
        <f t="shared" si="0"/>
        <v>0.73028125697770929</v>
      </c>
    </row>
    <row r="55" spans="1:13" s="434" customFormat="1" ht="97.5" customHeight="1" x14ac:dyDescent="0.25">
      <c r="A55" s="530" t="s">
        <v>474</v>
      </c>
      <c r="B55" s="576" t="s">
        <v>475</v>
      </c>
      <c r="C55" s="660"/>
      <c r="D55" s="439"/>
      <c r="E55" s="439"/>
      <c r="F55" s="439"/>
      <c r="G55" s="439"/>
      <c r="H55" s="533">
        <v>0</v>
      </c>
      <c r="I55" s="512">
        <f>финансир!M58</f>
        <v>0</v>
      </c>
      <c r="J55" s="432"/>
      <c r="K55" s="565" t="s">
        <v>141</v>
      </c>
      <c r="L55" s="439"/>
      <c r="M55" s="433" t="e">
        <f t="shared" si="0"/>
        <v>#DIV/0!</v>
      </c>
    </row>
    <row r="56" spans="1:13" s="434" customFormat="1" ht="191.25" x14ac:dyDescent="0.25">
      <c r="A56" s="577" t="s">
        <v>11</v>
      </c>
      <c r="B56" s="578" t="s">
        <v>12</v>
      </c>
      <c r="C56" s="579" t="s">
        <v>13</v>
      </c>
      <c r="D56" s="439"/>
      <c r="E56" s="541"/>
      <c r="F56" s="439"/>
      <c r="G56" s="439"/>
      <c r="H56" s="533">
        <v>0</v>
      </c>
      <c r="I56" s="512">
        <f>финансир!M59</f>
        <v>0</v>
      </c>
      <c r="J56" s="432"/>
      <c r="K56" s="529" t="s">
        <v>582</v>
      </c>
      <c r="L56" s="439"/>
      <c r="M56" s="433"/>
    </row>
    <row r="57" spans="1:13" s="434" customFormat="1" ht="206.25" customHeight="1" x14ac:dyDescent="0.25">
      <c r="A57" s="538" t="s">
        <v>15</v>
      </c>
      <c r="B57" s="539" t="s">
        <v>14</v>
      </c>
      <c r="C57" s="540" t="s">
        <v>69</v>
      </c>
      <c r="D57" s="439"/>
      <c r="E57" s="541"/>
      <c r="F57" s="439"/>
      <c r="G57" s="439"/>
      <c r="H57" s="533">
        <v>0</v>
      </c>
      <c r="I57" s="512">
        <f>финансир!M60</f>
        <v>1526.7</v>
      </c>
      <c r="J57" s="432"/>
      <c r="K57" s="452" t="s">
        <v>581</v>
      </c>
      <c r="L57" s="439"/>
      <c r="M57" s="433"/>
    </row>
    <row r="58" spans="1:13" s="434" customFormat="1" ht="15.75" thickBot="1" x14ac:dyDescent="0.3">
      <c r="A58" s="667" t="s">
        <v>484</v>
      </c>
      <c r="B58" s="668"/>
      <c r="C58" s="542"/>
      <c r="D58" s="543"/>
      <c r="E58" s="467"/>
      <c r="F58" s="471"/>
      <c r="G58" s="471"/>
      <c r="H58" s="533"/>
      <c r="I58" s="512"/>
      <c r="J58" s="513"/>
      <c r="K58" s="471"/>
      <c r="L58" s="471"/>
      <c r="M58" s="472"/>
    </row>
    <row r="59" spans="1:13" s="434" customFormat="1" ht="124.5" customHeight="1" thickBot="1" x14ac:dyDescent="0.3">
      <c r="A59" s="451"/>
      <c r="B59" s="452" t="s">
        <v>451</v>
      </c>
      <c r="C59" s="542"/>
      <c r="D59" s="544"/>
      <c r="E59" s="545"/>
      <c r="F59" s="546"/>
      <c r="G59" s="547"/>
      <c r="H59" s="533" t="s">
        <v>448</v>
      </c>
      <c r="I59" s="512" t="s">
        <v>448</v>
      </c>
      <c r="J59" s="548">
        <v>0.47</v>
      </c>
      <c r="K59" s="549">
        <v>0.47</v>
      </c>
      <c r="L59" s="550"/>
      <c r="M59" s="472"/>
    </row>
    <row r="60" spans="1:13" s="434" customFormat="1" ht="90" thickBot="1" x14ac:dyDescent="0.3">
      <c r="A60" s="451"/>
      <c r="B60" s="452" t="s">
        <v>452</v>
      </c>
      <c r="C60" s="542"/>
      <c r="D60" s="544"/>
      <c r="E60" s="545"/>
      <c r="F60" s="546"/>
      <c r="G60" s="547"/>
      <c r="H60" s="533" t="s">
        <v>448</v>
      </c>
      <c r="I60" s="512" t="s">
        <v>448</v>
      </c>
      <c r="J60" s="551">
        <v>0.05</v>
      </c>
      <c r="K60" s="549">
        <v>0.05</v>
      </c>
      <c r="L60" s="550"/>
      <c r="M60" s="472"/>
    </row>
    <row r="61" spans="1:13" s="434" customFormat="1" ht="76.5" x14ac:dyDescent="0.25">
      <c r="A61" s="451"/>
      <c r="B61" s="452" t="s">
        <v>485</v>
      </c>
      <c r="C61" s="542"/>
      <c r="D61" s="544"/>
      <c r="E61" s="545"/>
      <c r="F61" s="546"/>
      <c r="G61" s="547"/>
      <c r="H61" s="533" t="s">
        <v>448</v>
      </c>
      <c r="I61" s="512" t="s">
        <v>448</v>
      </c>
      <c r="J61" s="552">
        <f>29.83+30.81+30.51</f>
        <v>91.15</v>
      </c>
      <c r="K61" s="552">
        <v>97.8</v>
      </c>
      <c r="L61" s="550"/>
      <c r="M61" s="472"/>
    </row>
    <row r="62" spans="1:13" s="434" customFormat="1" ht="51" x14ac:dyDescent="0.25">
      <c r="A62" s="451"/>
      <c r="B62" s="452" t="s">
        <v>153</v>
      </c>
      <c r="C62" s="542"/>
      <c r="D62" s="544"/>
      <c r="E62" s="545"/>
      <c r="F62" s="546"/>
      <c r="G62" s="547"/>
      <c r="H62" s="533"/>
      <c r="I62" s="512"/>
      <c r="J62" s="552">
        <v>67</v>
      </c>
      <c r="K62" s="552">
        <v>67</v>
      </c>
      <c r="L62" s="550"/>
      <c r="M62" s="472"/>
    </row>
    <row r="63" spans="1:13" s="434" customFormat="1" ht="15.75" x14ac:dyDescent="0.25">
      <c r="A63" s="553">
        <v>2</v>
      </c>
      <c r="B63" s="554" t="s">
        <v>445</v>
      </c>
      <c r="C63" s="555"/>
      <c r="D63" s="556"/>
      <c r="E63" s="556"/>
      <c r="F63" s="556"/>
      <c r="G63" s="556"/>
      <c r="H63" s="557">
        <f>H64+H65+H66+H67+H68+H69+H70+H71+H72+H73+H87+H88+H89+H90+H91</f>
        <v>2202983.98</v>
      </c>
      <c r="I63" s="557">
        <f>I64+I65+I66+I67+I68+I69+I70+I71+I72+I73+I87+I88+I89+I90+I91</f>
        <v>2114344.452</v>
      </c>
      <c r="J63" s="558"/>
      <c r="K63" s="559"/>
      <c r="L63" s="560"/>
      <c r="M63" s="433">
        <f>I63/H63</f>
        <v>0.95976387989893597</v>
      </c>
    </row>
    <row r="64" spans="1:13" s="695" customFormat="1" ht="89.25" x14ac:dyDescent="0.25">
      <c r="A64" s="686" t="s">
        <v>326</v>
      </c>
      <c r="B64" s="687" t="s">
        <v>232</v>
      </c>
      <c r="C64" s="696"/>
      <c r="D64" s="688" t="s">
        <v>63</v>
      </c>
      <c r="E64" s="688" t="s">
        <v>64</v>
      </c>
      <c r="F64" s="689"/>
      <c r="G64" s="689"/>
      <c r="H64" s="690">
        <f>2*63446.8+65369.5</f>
        <v>192263.1</v>
      </c>
      <c r="I64" s="691">
        <f>финансир!M63</f>
        <v>159096.05600000001</v>
      </c>
      <c r="J64" s="692" t="s">
        <v>46</v>
      </c>
      <c r="K64" s="693" t="s">
        <v>583</v>
      </c>
      <c r="L64" s="689"/>
      <c r="M64" s="694">
        <f t="shared" ref="M64:M94" si="1">I64/H64</f>
        <v>0.82749136989885219</v>
      </c>
    </row>
    <row r="65" spans="1:13" s="434" customFormat="1" ht="179.25" x14ac:dyDescent="0.25">
      <c r="A65" s="530" t="s">
        <v>327</v>
      </c>
      <c r="B65" s="531" t="s">
        <v>233</v>
      </c>
      <c r="C65" s="659" t="s">
        <v>469</v>
      </c>
      <c r="D65" s="438" t="s">
        <v>63</v>
      </c>
      <c r="E65" s="438" t="s">
        <v>64</v>
      </c>
      <c r="F65" s="439"/>
      <c r="G65" s="439"/>
      <c r="H65" s="533">
        <f>3*1600</f>
        <v>4800</v>
      </c>
      <c r="I65" s="512">
        <f>финансир!M64</f>
        <v>2700</v>
      </c>
      <c r="J65" s="561" t="s">
        <v>133</v>
      </c>
      <c r="K65" s="562" t="s">
        <v>27</v>
      </c>
      <c r="L65" s="563" t="s">
        <v>519</v>
      </c>
      <c r="M65" s="433">
        <f t="shared" si="1"/>
        <v>0.5625</v>
      </c>
    </row>
    <row r="66" spans="1:13" s="434" customFormat="1" ht="89.25" x14ac:dyDescent="0.25">
      <c r="A66" s="530" t="s">
        <v>328</v>
      </c>
      <c r="B66" s="531" t="s">
        <v>329</v>
      </c>
      <c r="C66" s="669"/>
      <c r="D66" s="438" t="s">
        <v>63</v>
      </c>
      <c r="E66" s="438" t="s">
        <v>64</v>
      </c>
      <c r="F66" s="439"/>
      <c r="G66" s="439"/>
      <c r="H66" s="533">
        <f>3*762.1</f>
        <v>2286.3000000000002</v>
      </c>
      <c r="I66" s="512">
        <f>финансир!M65</f>
        <v>1288.6300000000001</v>
      </c>
      <c r="J66" s="442" t="s">
        <v>134</v>
      </c>
      <c r="K66" s="564" t="s">
        <v>28</v>
      </c>
      <c r="L66" s="564" t="s">
        <v>135</v>
      </c>
      <c r="M66" s="433">
        <f t="shared" si="1"/>
        <v>0.56363119450640775</v>
      </c>
    </row>
    <row r="67" spans="1:13" s="434" customFormat="1" ht="153" x14ac:dyDescent="0.25">
      <c r="A67" s="530" t="s">
        <v>330</v>
      </c>
      <c r="B67" s="531" t="s">
        <v>234</v>
      </c>
      <c r="C67" s="669"/>
      <c r="D67" s="438" t="s">
        <v>63</v>
      </c>
      <c r="E67" s="438" t="s">
        <v>64</v>
      </c>
      <c r="F67" s="439"/>
      <c r="G67" s="439"/>
      <c r="H67" s="533">
        <f>3*986.4</f>
        <v>2959.2</v>
      </c>
      <c r="I67" s="512">
        <f>финансир!M66</f>
        <v>1481.68</v>
      </c>
      <c r="J67" s="442" t="s">
        <v>136</v>
      </c>
      <c r="K67" s="565" t="s">
        <v>29</v>
      </c>
      <c r="L67" s="452" t="s">
        <v>520</v>
      </c>
      <c r="M67" s="433">
        <f t="shared" si="1"/>
        <v>0.50070289267369561</v>
      </c>
    </row>
    <row r="68" spans="1:13" s="434" customFormat="1" ht="140.25" x14ac:dyDescent="0.25">
      <c r="A68" s="530" t="s">
        <v>331</v>
      </c>
      <c r="B68" s="531" t="s">
        <v>332</v>
      </c>
      <c r="C68" s="669"/>
      <c r="D68" s="438" t="s">
        <v>63</v>
      </c>
      <c r="E68" s="438" t="s">
        <v>64</v>
      </c>
      <c r="F68" s="439"/>
      <c r="G68" s="439"/>
      <c r="H68" s="533">
        <f>2*2435.7+2435.8</f>
        <v>7307.2</v>
      </c>
      <c r="I68" s="512">
        <f>финансир!M67</f>
        <v>10138.32</v>
      </c>
      <c r="J68" s="442" t="s">
        <v>137</v>
      </c>
      <c r="K68" s="452" t="s">
        <v>518</v>
      </c>
      <c r="L68" s="566"/>
      <c r="M68" s="433">
        <f t="shared" si="1"/>
        <v>1.3874425224436173</v>
      </c>
    </row>
    <row r="69" spans="1:13" s="434" customFormat="1" ht="76.5" x14ac:dyDescent="0.25">
      <c r="A69" s="530" t="s">
        <v>333</v>
      </c>
      <c r="B69" s="531" t="s">
        <v>235</v>
      </c>
      <c r="C69" s="669"/>
      <c r="D69" s="438" t="s">
        <v>63</v>
      </c>
      <c r="E69" s="438" t="s">
        <v>64</v>
      </c>
      <c r="F69" s="439"/>
      <c r="G69" s="439"/>
      <c r="H69" s="533">
        <f>2*135644.9+139755.3</f>
        <v>411045.1</v>
      </c>
      <c r="I69" s="512">
        <f>финансир!M68</f>
        <v>425151.45</v>
      </c>
      <c r="J69" s="442" t="s">
        <v>138</v>
      </c>
      <c r="K69" s="564" t="s">
        <v>30</v>
      </c>
      <c r="L69" s="439"/>
      <c r="M69" s="433">
        <f t="shared" si="1"/>
        <v>1.0343182536417537</v>
      </c>
    </row>
    <row r="70" spans="1:13" s="434" customFormat="1" ht="102" x14ac:dyDescent="0.25">
      <c r="A70" s="530" t="s">
        <v>334</v>
      </c>
      <c r="B70" s="531" t="s">
        <v>236</v>
      </c>
      <c r="C70" s="669"/>
      <c r="D70" s="438" t="s">
        <v>63</v>
      </c>
      <c r="E70" s="438" t="s">
        <v>64</v>
      </c>
      <c r="F70" s="439"/>
      <c r="G70" s="439"/>
      <c r="H70" s="533">
        <f>2*4433.7+4568</f>
        <v>13435.4</v>
      </c>
      <c r="I70" s="512">
        <f>финансир!M69</f>
        <v>13828.097</v>
      </c>
      <c r="J70" s="442" t="s">
        <v>139</v>
      </c>
      <c r="K70" s="545" t="s">
        <v>594</v>
      </c>
      <c r="L70" s="439"/>
      <c r="M70" s="433">
        <f t="shared" si="1"/>
        <v>1.0292285305982702</v>
      </c>
    </row>
    <row r="71" spans="1:13" s="434" customFormat="1" ht="153" x14ac:dyDescent="0.25">
      <c r="A71" s="530" t="s">
        <v>335</v>
      </c>
      <c r="B71" s="531" t="s">
        <v>336</v>
      </c>
      <c r="C71" s="669"/>
      <c r="D71" s="438" t="s">
        <v>63</v>
      </c>
      <c r="E71" s="438" t="s">
        <v>64</v>
      </c>
      <c r="F71" s="443"/>
      <c r="G71" s="443"/>
      <c r="H71" s="533">
        <f>3*37.7</f>
        <v>113.10000000000001</v>
      </c>
      <c r="I71" s="512">
        <f>финансир!M70</f>
        <v>0</v>
      </c>
      <c r="J71" s="442" t="s">
        <v>140</v>
      </c>
      <c r="K71" s="562" t="s">
        <v>141</v>
      </c>
      <c r="L71" s="564"/>
      <c r="M71" s="433">
        <f t="shared" si="1"/>
        <v>0</v>
      </c>
    </row>
    <row r="72" spans="1:13" s="434" customFormat="1" ht="102" x14ac:dyDescent="0.25">
      <c r="A72" s="530" t="s">
        <v>337</v>
      </c>
      <c r="B72" s="531" t="s">
        <v>338</v>
      </c>
      <c r="C72" s="660"/>
      <c r="D72" s="438" t="s">
        <v>65</v>
      </c>
      <c r="E72" s="438" t="s">
        <v>66</v>
      </c>
      <c r="F72" s="439"/>
      <c r="G72" s="439"/>
      <c r="H72" s="533">
        <f>2*245</f>
        <v>490</v>
      </c>
      <c r="I72" s="512">
        <f>финансир!M71</f>
        <v>333.65</v>
      </c>
      <c r="J72" s="567" t="s">
        <v>83</v>
      </c>
      <c r="K72" s="563" t="s">
        <v>584</v>
      </c>
      <c r="L72" s="564"/>
      <c r="M72" s="433">
        <f t="shared" si="1"/>
        <v>0.68091836734693878</v>
      </c>
    </row>
    <row r="73" spans="1:13" s="434" customFormat="1" ht="25.5" x14ac:dyDescent="0.25">
      <c r="A73" s="568" t="s">
        <v>339</v>
      </c>
      <c r="B73" s="569" t="s">
        <v>194</v>
      </c>
      <c r="C73" s="437"/>
      <c r="D73" s="492"/>
      <c r="E73" s="492"/>
      <c r="F73" s="492"/>
      <c r="G73" s="492"/>
      <c r="H73" s="570">
        <f>H74+H75+H76+H77+H78+H79+H80+H81+H82+H83+H84+H85+H86</f>
        <v>1028407.48</v>
      </c>
      <c r="I73" s="570">
        <f>I74+I75+I76+I77+I78+I79+I80+I81+I82+I83+I84+I85+I86</f>
        <v>1129648.5110000002</v>
      </c>
      <c r="J73" s="470"/>
      <c r="K73" s="559"/>
      <c r="L73" s="492"/>
      <c r="M73" s="433">
        <f t="shared" si="1"/>
        <v>1.0984444716407549</v>
      </c>
    </row>
    <row r="74" spans="1:13" s="695" customFormat="1" ht="63.75" x14ac:dyDescent="0.25">
      <c r="A74" s="686" t="s">
        <v>340</v>
      </c>
      <c r="B74" s="687" t="s">
        <v>237</v>
      </c>
      <c r="C74" s="670"/>
      <c r="D74" s="688" t="s">
        <v>63</v>
      </c>
      <c r="E74" s="688" t="s">
        <v>64</v>
      </c>
      <c r="F74" s="689"/>
      <c r="G74" s="689"/>
      <c r="H74" s="690">
        <f>2*54336.2+55982.8</f>
        <v>164655.20000000001</v>
      </c>
      <c r="I74" s="691">
        <f>финансир!M73</f>
        <v>158890.04999999999</v>
      </c>
      <c r="J74" s="692" t="s">
        <v>47</v>
      </c>
      <c r="K74" s="693" t="s">
        <v>585</v>
      </c>
      <c r="L74" s="689"/>
      <c r="M74" s="694">
        <f t="shared" si="1"/>
        <v>0.96498652942634044</v>
      </c>
    </row>
    <row r="75" spans="1:13" s="434" customFormat="1" ht="102" x14ac:dyDescent="0.25">
      <c r="A75" s="530" t="s">
        <v>341</v>
      </c>
      <c r="B75" s="531" t="s">
        <v>238</v>
      </c>
      <c r="C75" s="671"/>
      <c r="D75" s="438" t="s">
        <v>63</v>
      </c>
      <c r="E75" s="438" t="s">
        <v>64</v>
      </c>
      <c r="F75" s="439"/>
      <c r="G75" s="439"/>
      <c r="H75" s="533">
        <f>2*197.2+203.2</f>
        <v>597.59999999999991</v>
      </c>
      <c r="I75" s="512">
        <f>финансир!M74</f>
        <v>519.44299999999998</v>
      </c>
      <c r="J75" s="442" t="s">
        <v>48</v>
      </c>
      <c r="K75" s="565" t="s">
        <v>31</v>
      </c>
      <c r="L75" s="439"/>
      <c r="M75" s="433">
        <f t="shared" si="1"/>
        <v>0.86921519410977255</v>
      </c>
    </row>
    <row r="76" spans="1:13" s="434" customFormat="1" ht="76.5" x14ac:dyDescent="0.25">
      <c r="A76" s="530" t="s">
        <v>342</v>
      </c>
      <c r="B76" s="531" t="s">
        <v>239</v>
      </c>
      <c r="C76" s="671"/>
      <c r="D76" s="438" t="s">
        <v>63</v>
      </c>
      <c r="E76" s="438" t="s">
        <v>64</v>
      </c>
      <c r="F76" s="439"/>
      <c r="G76" s="439"/>
      <c r="H76" s="533">
        <f>2*41725.4+42989.8</f>
        <v>126440.6</v>
      </c>
      <c r="I76" s="512">
        <f>финансир!M75</f>
        <v>37204.44</v>
      </c>
      <c r="J76" s="442" t="s">
        <v>84</v>
      </c>
      <c r="K76" s="571" t="s">
        <v>525</v>
      </c>
      <c r="L76" s="439"/>
      <c r="M76" s="433">
        <f t="shared" si="1"/>
        <v>0.29424441200057577</v>
      </c>
    </row>
    <row r="77" spans="1:13" s="434" customFormat="1" ht="89.25" x14ac:dyDescent="0.25">
      <c r="A77" s="530" t="s">
        <v>343</v>
      </c>
      <c r="B77" s="531" t="s">
        <v>240</v>
      </c>
      <c r="C77" s="671"/>
      <c r="D77" s="438" t="s">
        <v>64</v>
      </c>
      <c r="E77" s="438" t="s">
        <v>64</v>
      </c>
      <c r="F77" s="439"/>
      <c r="G77" s="439"/>
      <c r="H77" s="533">
        <v>0</v>
      </c>
      <c r="I77" s="512">
        <f>финансир!M76</f>
        <v>0</v>
      </c>
      <c r="J77" s="470" t="s">
        <v>85</v>
      </c>
      <c r="K77" s="432" t="s">
        <v>2</v>
      </c>
      <c r="L77" s="439"/>
      <c r="M77" s="433" t="e">
        <f t="shared" si="1"/>
        <v>#DIV/0!</v>
      </c>
    </row>
    <row r="78" spans="1:13" s="434" customFormat="1" ht="51" x14ac:dyDescent="0.25">
      <c r="A78" s="530" t="s">
        <v>344</v>
      </c>
      <c r="B78" s="531" t="s">
        <v>345</v>
      </c>
      <c r="C78" s="671"/>
      <c r="D78" s="438" t="s">
        <v>63</v>
      </c>
      <c r="E78" s="438" t="s">
        <v>64</v>
      </c>
      <c r="F78" s="439"/>
      <c r="G78" s="439"/>
      <c r="H78" s="533">
        <f>2*39687.4+40890</f>
        <v>120264.8</v>
      </c>
      <c r="I78" s="512">
        <f>финансир!M77+финансир!L77</f>
        <v>312146.217</v>
      </c>
      <c r="J78" s="442" t="s">
        <v>86</v>
      </c>
      <c r="K78" s="452" t="s">
        <v>586</v>
      </c>
      <c r="L78" s="439"/>
      <c r="M78" s="433">
        <f t="shared" si="1"/>
        <v>2.5954910913251426</v>
      </c>
    </row>
    <row r="79" spans="1:13" s="434" customFormat="1" ht="63.75" x14ac:dyDescent="0.25">
      <c r="A79" s="530" t="s">
        <v>346</v>
      </c>
      <c r="B79" s="531" t="s">
        <v>347</v>
      </c>
      <c r="C79" s="671"/>
      <c r="D79" s="438" t="s">
        <v>63</v>
      </c>
      <c r="E79" s="438" t="s">
        <v>64</v>
      </c>
      <c r="F79" s="439"/>
      <c r="G79" s="439"/>
      <c r="H79" s="533">
        <f>2*53.955+55.6</f>
        <v>163.51</v>
      </c>
      <c r="I79" s="512">
        <f>финансир!M78</f>
        <v>132.327</v>
      </c>
      <c r="J79" s="442" t="s">
        <v>49</v>
      </c>
      <c r="K79" s="513" t="s">
        <v>517</v>
      </c>
      <c r="L79" s="439"/>
      <c r="M79" s="433">
        <f t="shared" si="1"/>
        <v>0.80928995168491225</v>
      </c>
    </row>
    <row r="80" spans="1:13" s="434" customFormat="1" ht="165.75" x14ac:dyDescent="0.25">
      <c r="A80" s="530" t="s">
        <v>348</v>
      </c>
      <c r="B80" s="531" t="s">
        <v>241</v>
      </c>
      <c r="C80" s="671"/>
      <c r="D80" s="438" t="s">
        <v>63</v>
      </c>
      <c r="E80" s="438" t="s">
        <v>64</v>
      </c>
      <c r="F80" s="439"/>
      <c r="G80" s="439"/>
      <c r="H80" s="533">
        <f>2*89670.5+92387.8</f>
        <v>271728.8</v>
      </c>
      <c r="I80" s="512">
        <f>финансир!M79</f>
        <v>269187.00300000003</v>
      </c>
      <c r="J80" s="442" t="s">
        <v>50</v>
      </c>
      <c r="K80" s="571" t="s">
        <v>524</v>
      </c>
      <c r="L80" s="439"/>
      <c r="M80" s="433">
        <f t="shared" si="1"/>
        <v>0.99064583143192786</v>
      </c>
    </row>
    <row r="81" spans="1:19" s="434" customFormat="1" ht="51" x14ac:dyDescent="0.25">
      <c r="A81" s="530" t="s">
        <v>349</v>
      </c>
      <c r="B81" s="531" t="s">
        <v>242</v>
      </c>
      <c r="C81" s="671"/>
      <c r="D81" s="438" t="s">
        <v>63</v>
      </c>
      <c r="E81" s="438" t="s">
        <v>64</v>
      </c>
      <c r="F81" s="439"/>
      <c r="G81" s="439"/>
      <c r="H81" s="533">
        <f>2*842.985+868.5</f>
        <v>2554.4700000000003</v>
      </c>
      <c r="I81" s="512">
        <f>финансир!M80</f>
        <v>1557.779</v>
      </c>
      <c r="J81" s="442" t="s">
        <v>87</v>
      </c>
      <c r="K81" s="452" t="s">
        <v>587</v>
      </c>
      <c r="L81" s="439"/>
      <c r="M81" s="433">
        <f t="shared" si="1"/>
        <v>0.60982473859548159</v>
      </c>
    </row>
    <row r="82" spans="1:19" s="434" customFormat="1" ht="63.75" x14ac:dyDescent="0.25">
      <c r="A82" s="530" t="s">
        <v>350</v>
      </c>
      <c r="B82" s="531" t="s">
        <v>243</v>
      </c>
      <c r="C82" s="671"/>
      <c r="D82" s="438" t="s">
        <v>63</v>
      </c>
      <c r="E82" s="438" t="s">
        <v>64</v>
      </c>
      <c r="F82" s="439"/>
      <c r="G82" s="439"/>
      <c r="H82" s="533">
        <f>3*6073.9</f>
        <v>18221.699999999997</v>
      </c>
      <c r="I82" s="512">
        <f>финансир!L81</f>
        <v>4828.22</v>
      </c>
      <c r="J82" s="442" t="s">
        <v>88</v>
      </c>
      <c r="K82" s="565" t="s">
        <v>32</v>
      </c>
      <c r="L82" s="439"/>
      <c r="M82" s="433">
        <f t="shared" si="1"/>
        <v>0.26497088636076771</v>
      </c>
    </row>
    <row r="83" spans="1:19" s="434" customFormat="1" ht="89.25" x14ac:dyDescent="0.25">
      <c r="A83" s="530" t="s">
        <v>351</v>
      </c>
      <c r="B83" s="531" t="s">
        <v>244</v>
      </c>
      <c r="C83" s="671"/>
      <c r="D83" s="438" t="s">
        <v>63</v>
      </c>
      <c r="E83" s="438" t="s">
        <v>64</v>
      </c>
      <c r="F83" s="439"/>
      <c r="G83" s="439"/>
      <c r="H83" s="533">
        <f>3*96459.1</f>
        <v>289377.30000000005</v>
      </c>
      <c r="I83" s="512">
        <f>финансир!L82</f>
        <v>313339.49099999998</v>
      </c>
      <c r="J83" s="442" t="s">
        <v>51</v>
      </c>
      <c r="K83" s="571" t="s">
        <v>595</v>
      </c>
      <c r="L83" s="439"/>
      <c r="M83" s="433">
        <f t="shared" si="1"/>
        <v>1.082806049403322</v>
      </c>
    </row>
    <row r="84" spans="1:19" s="434" customFormat="1" ht="63.75" x14ac:dyDescent="0.25">
      <c r="A84" s="530" t="s">
        <v>352</v>
      </c>
      <c r="B84" s="531" t="s">
        <v>245</v>
      </c>
      <c r="C84" s="671"/>
      <c r="D84" s="438" t="s">
        <v>63</v>
      </c>
      <c r="E84" s="438" t="s">
        <v>64</v>
      </c>
      <c r="F84" s="439"/>
      <c r="G84" s="439"/>
      <c r="H84" s="533">
        <v>2.6</v>
      </c>
      <c r="I84" s="512">
        <f>финансир!L83</f>
        <v>1.012</v>
      </c>
      <c r="J84" s="442" t="s">
        <v>52</v>
      </c>
      <c r="K84" s="572" t="s">
        <v>33</v>
      </c>
      <c r="L84" s="439"/>
      <c r="M84" s="433">
        <f t="shared" si="1"/>
        <v>0.38923076923076921</v>
      </c>
    </row>
    <row r="85" spans="1:19" s="434" customFormat="1" ht="76.5" x14ac:dyDescent="0.25">
      <c r="A85" s="530" t="s">
        <v>353</v>
      </c>
      <c r="B85" s="531" t="s">
        <v>246</v>
      </c>
      <c r="C85" s="671"/>
      <c r="D85" s="438" t="s">
        <v>63</v>
      </c>
      <c r="E85" s="438" t="s">
        <v>64</v>
      </c>
      <c r="F85" s="439"/>
      <c r="G85" s="439"/>
      <c r="H85" s="533">
        <v>0.5</v>
      </c>
      <c r="I85" s="512">
        <f>финансир!L84</f>
        <v>0</v>
      </c>
      <c r="J85" s="442" t="s">
        <v>53</v>
      </c>
      <c r="K85" s="572" t="s">
        <v>1</v>
      </c>
      <c r="L85" s="439"/>
      <c r="M85" s="433">
        <f t="shared" si="1"/>
        <v>0</v>
      </c>
    </row>
    <row r="86" spans="1:19" s="434" customFormat="1" ht="63.75" x14ac:dyDescent="0.25">
      <c r="A86" s="530" t="s">
        <v>354</v>
      </c>
      <c r="B86" s="531" t="s">
        <v>247</v>
      </c>
      <c r="C86" s="671"/>
      <c r="D86" s="438" t="s">
        <v>63</v>
      </c>
      <c r="E86" s="438" t="s">
        <v>64</v>
      </c>
      <c r="F86" s="439"/>
      <c r="G86" s="439"/>
      <c r="H86" s="533">
        <f>3*11466.8</f>
        <v>34400.399999999994</v>
      </c>
      <c r="I86" s="512">
        <f>финансир!L85</f>
        <v>31842.528999999999</v>
      </c>
      <c r="J86" s="442" t="s">
        <v>54</v>
      </c>
      <c r="K86" s="572" t="s">
        <v>34</v>
      </c>
      <c r="L86" s="439"/>
      <c r="M86" s="433">
        <f t="shared" si="1"/>
        <v>0.92564414948663398</v>
      </c>
    </row>
    <row r="87" spans="1:19" s="434" customFormat="1" ht="51" x14ac:dyDescent="0.25">
      <c r="A87" s="530" t="s">
        <v>355</v>
      </c>
      <c r="B87" s="531" t="s">
        <v>356</v>
      </c>
      <c r="C87" s="671"/>
      <c r="D87" s="438" t="s">
        <v>63</v>
      </c>
      <c r="E87" s="438" t="s">
        <v>64</v>
      </c>
      <c r="F87" s="439"/>
      <c r="G87" s="439"/>
      <c r="H87" s="533">
        <f>3*423.2</f>
        <v>1269.5999999999999</v>
      </c>
      <c r="I87" s="512">
        <f>финансир!M86</f>
        <v>550.79899999999998</v>
      </c>
      <c r="J87" s="470"/>
      <c r="K87" s="565" t="s">
        <v>35</v>
      </c>
      <c r="L87" s="439"/>
      <c r="M87" s="433">
        <f t="shared" si="1"/>
        <v>0.43383664146187778</v>
      </c>
    </row>
    <row r="88" spans="1:19" s="537" customFormat="1" ht="409.5" x14ac:dyDescent="0.25">
      <c r="A88" s="530" t="s">
        <v>357</v>
      </c>
      <c r="B88" s="531" t="s">
        <v>248</v>
      </c>
      <c r="C88" s="671"/>
      <c r="D88" s="444" t="s">
        <v>63</v>
      </c>
      <c r="E88" s="444" t="s">
        <v>64</v>
      </c>
      <c r="F88" s="532"/>
      <c r="G88" s="532"/>
      <c r="H88" s="533">
        <f>3*3557.5</f>
        <v>10672.5</v>
      </c>
      <c r="I88" s="512">
        <f>финансир!L87</f>
        <v>5953.9129999999996</v>
      </c>
      <c r="J88" s="442" t="s">
        <v>142</v>
      </c>
      <c r="K88" s="534" t="s">
        <v>598</v>
      </c>
      <c r="L88" s="535" t="s">
        <v>143</v>
      </c>
      <c r="M88" s="536">
        <f t="shared" si="1"/>
        <v>0.55787425626610443</v>
      </c>
    </row>
    <row r="89" spans="1:19" s="537" customFormat="1" ht="63.75" x14ac:dyDescent="0.25">
      <c r="A89" s="530" t="s">
        <v>358</v>
      </c>
      <c r="B89" s="531" t="s">
        <v>249</v>
      </c>
      <c r="C89" s="671"/>
      <c r="D89" s="444" t="s">
        <v>63</v>
      </c>
      <c r="E89" s="444" t="s">
        <v>64</v>
      </c>
      <c r="F89" s="532"/>
      <c r="G89" s="532"/>
      <c r="H89" s="533">
        <f>3*84.8</f>
        <v>254.39999999999998</v>
      </c>
      <c r="I89" s="512">
        <f>финансир!L88</f>
        <v>0</v>
      </c>
      <c r="J89" s="442" t="s">
        <v>55</v>
      </c>
      <c r="K89" s="513" t="s">
        <v>36</v>
      </c>
      <c r="L89" s="532"/>
      <c r="M89" s="536">
        <f t="shared" si="1"/>
        <v>0</v>
      </c>
    </row>
    <row r="90" spans="1:19" s="537" customFormat="1" ht="89.25" x14ac:dyDescent="0.25">
      <c r="A90" s="530" t="s">
        <v>359</v>
      </c>
      <c r="B90" s="531" t="s">
        <v>250</v>
      </c>
      <c r="C90" s="672"/>
      <c r="D90" s="444" t="s">
        <v>63</v>
      </c>
      <c r="E90" s="444" t="s">
        <v>64</v>
      </c>
      <c r="F90" s="532"/>
      <c r="G90" s="532"/>
      <c r="H90" s="533">
        <f>2*168878.7+173996.2</f>
        <v>511753.60000000003</v>
      </c>
      <c r="I90" s="512">
        <f>финансир!M89</f>
        <v>345546.04599999997</v>
      </c>
      <c r="J90" s="442" t="s">
        <v>67</v>
      </c>
      <c r="K90" s="513" t="s">
        <v>588</v>
      </c>
      <c r="L90" s="532"/>
      <c r="M90" s="536">
        <f t="shared" si="1"/>
        <v>0.67521957051205883</v>
      </c>
    </row>
    <row r="91" spans="1:19" ht="188.25" customHeight="1" x14ac:dyDescent="0.25">
      <c r="A91" s="28" t="s">
        <v>360</v>
      </c>
      <c r="B91" s="29" t="s">
        <v>361</v>
      </c>
      <c r="C91" s="65" t="s">
        <v>483</v>
      </c>
      <c r="D91" s="65" t="s">
        <v>63</v>
      </c>
      <c r="E91" s="65" t="s">
        <v>64</v>
      </c>
      <c r="F91" s="26"/>
      <c r="G91" s="26"/>
      <c r="H91" s="30">
        <f>5123.2+5427.9+5375.9</f>
        <v>15926.999999999998</v>
      </c>
      <c r="I91" s="5">
        <f>финансир!M90</f>
        <v>18627.3</v>
      </c>
      <c r="J91" s="60" t="s">
        <v>148</v>
      </c>
      <c r="K91" s="419" t="s">
        <v>589</v>
      </c>
      <c r="L91" s="34" t="s">
        <v>37</v>
      </c>
      <c r="M91" s="63">
        <f t="shared" si="1"/>
        <v>1.1695422866829912</v>
      </c>
      <c r="Q91">
        <v>17027.400000000001</v>
      </c>
      <c r="R91">
        <f>7164+7946+8597</f>
        <v>23707</v>
      </c>
      <c r="S91">
        <f>R91/Q91</f>
        <v>1.3922853753362228</v>
      </c>
    </row>
    <row r="92" spans="1:19" ht="15" customHeight="1" x14ac:dyDescent="0.25">
      <c r="A92" s="673" t="s">
        <v>486</v>
      </c>
      <c r="B92" s="674"/>
      <c r="C92" s="38"/>
      <c r="D92" s="39"/>
      <c r="E92" s="40"/>
      <c r="F92" s="41"/>
      <c r="G92" s="36"/>
      <c r="H92" s="37"/>
      <c r="I92" s="36"/>
      <c r="J92" s="58"/>
      <c r="K92" s="36"/>
      <c r="L92" s="36"/>
      <c r="M92" s="63" t="e">
        <f t="shared" si="1"/>
        <v>#DIV/0!</v>
      </c>
    </row>
    <row r="93" spans="1:19" ht="102" x14ac:dyDescent="0.25">
      <c r="A93" s="23"/>
      <c r="B93" s="22" t="s">
        <v>487</v>
      </c>
      <c r="C93" s="38"/>
      <c r="D93" s="39"/>
      <c r="E93" s="42"/>
      <c r="F93" s="43"/>
      <c r="G93" s="44"/>
      <c r="H93" s="61" t="s">
        <v>448</v>
      </c>
      <c r="I93" s="61" t="s">
        <v>448</v>
      </c>
      <c r="J93" s="423">
        <v>0.81499999999999995</v>
      </c>
      <c r="K93" s="424">
        <v>0.83</v>
      </c>
      <c r="L93" s="425" t="s">
        <v>597</v>
      </c>
      <c r="M93" s="63" t="e">
        <f t="shared" si="1"/>
        <v>#VALUE!</v>
      </c>
    </row>
    <row r="94" spans="1:19" ht="63.75" x14ac:dyDescent="0.25">
      <c r="A94" s="23"/>
      <c r="B94" s="22" t="s">
        <v>488</v>
      </c>
      <c r="C94" s="45"/>
      <c r="D94" s="39"/>
      <c r="E94" s="42"/>
      <c r="F94" s="43"/>
      <c r="G94" s="44"/>
      <c r="H94" s="61" t="s">
        <v>448</v>
      </c>
      <c r="I94" s="61" t="s">
        <v>448</v>
      </c>
      <c r="J94" s="20">
        <v>5.75</v>
      </c>
      <c r="K94" s="20">
        <v>5.91</v>
      </c>
      <c r="L94" s="57"/>
      <c r="M94" s="63" t="e">
        <f t="shared" si="1"/>
        <v>#VALUE!</v>
      </c>
    </row>
    <row r="95" spans="1:19" ht="38.25" x14ac:dyDescent="0.25">
      <c r="A95" s="23"/>
      <c r="B95" s="22" t="s">
        <v>152</v>
      </c>
      <c r="C95" s="45"/>
      <c r="D95" s="39"/>
      <c r="E95" s="42"/>
      <c r="F95" s="43"/>
      <c r="G95" s="44"/>
      <c r="H95" s="61"/>
      <c r="I95" s="61"/>
      <c r="J95" s="59">
        <v>72</v>
      </c>
      <c r="K95" s="57">
        <v>72</v>
      </c>
      <c r="L95" s="57"/>
      <c r="M95" s="63"/>
    </row>
    <row r="96" spans="1:19" ht="18.75" x14ac:dyDescent="0.3">
      <c r="A96" s="49" t="s">
        <v>446</v>
      </c>
      <c r="B96" s="50" t="s">
        <v>195</v>
      </c>
      <c r="C96" s="664" t="s">
        <v>470</v>
      </c>
      <c r="D96" s="51"/>
      <c r="E96" s="51"/>
      <c r="F96" s="51"/>
      <c r="G96" s="51"/>
      <c r="H96" s="55">
        <f>H97+H108+H112+H119</f>
        <v>16030</v>
      </c>
      <c r="I96" s="55">
        <f>I97+I108+I112+I119</f>
        <v>4329.1549999999997</v>
      </c>
      <c r="J96" s="52"/>
      <c r="K96" s="48"/>
      <c r="L96" s="53"/>
      <c r="M96" s="1"/>
    </row>
    <row r="97" spans="1:13" ht="38.25" x14ac:dyDescent="0.25">
      <c r="A97" s="9" t="s">
        <v>367</v>
      </c>
      <c r="B97" s="10" t="s">
        <v>283</v>
      </c>
      <c r="C97" s="665"/>
      <c r="D97" s="65" t="s">
        <v>65</v>
      </c>
      <c r="E97" s="65" t="s">
        <v>64</v>
      </c>
      <c r="F97" s="65"/>
      <c r="G97" s="65"/>
      <c r="H97" s="24">
        <f>H98</f>
        <v>11000</v>
      </c>
      <c r="I97" s="19">
        <f>финансир!L93+финансир!M93</f>
        <v>0</v>
      </c>
      <c r="J97" s="35"/>
      <c r="K97" s="35"/>
      <c r="L97" s="26"/>
      <c r="M97" s="2"/>
    </row>
    <row r="98" spans="1:13" ht="140.25" x14ac:dyDescent="0.25">
      <c r="A98" s="9" t="s">
        <v>368</v>
      </c>
      <c r="B98" s="10" t="s">
        <v>284</v>
      </c>
      <c r="C98" s="665"/>
      <c r="D98" s="65" t="s">
        <v>65</v>
      </c>
      <c r="E98" s="65" t="s">
        <v>64</v>
      </c>
      <c r="F98" s="26"/>
      <c r="G98" s="26"/>
      <c r="H98" s="24">
        <f>5500+5500</f>
        <v>11000</v>
      </c>
      <c r="I98" s="19">
        <f>финансир!L94+финансир!M94</f>
        <v>0</v>
      </c>
      <c r="J98" s="35"/>
      <c r="K98" s="35"/>
      <c r="L98" s="26"/>
      <c r="M98" s="2"/>
    </row>
    <row r="99" spans="1:13" ht="51" x14ac:dyDescent="0.25">
      <c r="A99" s="9" t="s">
        <v>369</v>
      </c>
      <c r="B99" s="10" t="s">
        <v>285</v>
      </c>
      <c r="C99" s="665"/>
      <c r="D99" s="65"/>
      <c r="E99" s="65"/>
      <c r="F99" s="65"/>
      <c r="G99" s="65"/>
      <c r="H99" s="24">
        <v>0</v>
      </c>
      <c r="I99" s="19">
        <f>финансир!L95+финансир!M95</f>
        <v>0</v>
      </c>
      <c r="J99" s="35"/>
      <c r="K99" s="34"/>
      <c r="L99" s="26"/>
      <c r="M99" s="2"/>
    </row>
    <row r="100" spans="1:13" ht="38.25" x14ac:dyDescent="0.25">
      <c r="A100" s="9" t="s">
        <v>370</v>
      </c>
      <c r="B100" s="10" t="s">
        <v>286</v>
      </c>
      <c r="C100" s="665"/>
      <c r="D100" s="65"/>
      <c r="E100" s="65"/>
      <c r="F100" s="65"/>
      <c r="G100" s="65"/>
      <c r="H100" s="24">
        <v>0</v>
      </c>
      <c r="I100" s="19">
        <f>финансир!L96+финансир!M96</f>
        <v>0</v>
      </c>
      <c r="J100" s="31"/>
      <c r="K100" s="34"/>
      <c r="L100" s="26"/>
      <c r="M100" s="2"/>
    </row>
    <row r="101" spans="1:13" ht="51" x14ac:dyDescent="0.25">
      <c r="A101" s="9" t="s">
        <v>371</v>
      </c>
      <c r="B101" s="10" t="s">
        <v>287</v>
      </c>
      <c r="C101" s="665"/>
      <c r="D101" s="65"/>
      <c r="E101" s="65"/>
      <c r="F101" s="65"/>
      <c r="G101" s="65"/>
      <c r="H101" s="24">
        <v>0</v>
      </c>
      <c r="I101" s="19">
        <f>финансир!L97+финансир!M97</f>
        <v>0</v>
      </c>
      <c r="J101" s="31"/>
      <c r="K101" s="34"/>
      <c r="L101" s="26"/>
      <c r="M101" s="2"/>
    </row>
    <row r="102" spans="1:13" ht="63.75" x14ac:dyDescent="0.25">
      <c r="A102" s="9" t="s">
        <v>372</v>
      </c>
      <c r="B102" s="10" t="s">
        <v>288</v>
      </c>
      <c r="C102" s="665"/>
      <c r="D102" s="65"/>
      <c r="E102" s="65"/>
      <c r="F102" s="65"/>
      <c r="G102" s="65"/>
      <c r="H102" s="24">
        <v>0</v>
      </c>
      <c r="I102" s="19">
        <f>финансир!L98+финансир!M98</f>
        <v>0</v>
      </c>
      <c r="J102" s="22"/>
      <c r="K102" s="34"/>
      <c r="L102" s="26"/>
      <c r="M102" s="2"/>
    </row>
    <row r="103" spans="1:13" s="434" customFormat="1" ht="51" x14ac:dyDescent="0.25">
      <c r="A103" s="462" t="s">
        <v>373</v>
      </c>
      <c r="B103" s="507" t="s">
        <v>363</v>
      </c>
      <c r="C103" s="665"/>
      <c r="D103" s="438"/>
      <c r="E103" s="438"/>
      <c r="F103" s="438"/>
      <c r="G103" s="438"/>
      <c r="H103" s="508">
        <v>0</v>
      </c>
      <c r="I103" s="441">
        <f>финансир!L99+финансир!M99</f>
        <v>0</v>
      </c>
      <c r="J103" s="452"/>
      <c r="K103" s="452"/>
      <c r="L103" s="439"/>
      <c r="M103" s="510"/>
    </row>
    <row r="104" spans="1:13" s="434" customFormat="1" ht="51" x14ac:dyDescent="0.25">
      <c r="A104" s="462" t="s">
        <v>374</v>
      </c>
      <c r="B104" s="507" t="s">
        <v>289</v>
      </c>
      <c r="C104" s="665"/>
      <c r="D104" s="438" t="s">
        <v>65</v>
      </c>
      <c r="E104" s="438" t="s">
        <v>64</v>
      </c>
      <c r="F104" s="439"/>
      <c r="G104" s="439"/>
      <c r="H104" s="508">
        <v>4000</v>
      </c>
      <c r="I104" s="441">
        <f>финансир!L100+финансир!M100</f>
        <v>0</v>
      </c>
      <c r="J104" s="432" t="s">
        <v>89</v>
      </c>
      <c r="K104" s="529" t="s">
        <v>526</v>
      </c>
      <c r="L104" s="439"/>
      <c r="M104" s="510"/>
    </row>
    <row r="105" spans="1:13" s="434" customFormat="1" ht="51" x14ac:dyDescent="0.25">
      <c r="A105" s="462" t="s">
        <v>375</v>
      </c>
      <c r="B105" s="507" t="s">
        <v>290</v>
      </c>
      <c r="C105" s="665"/>
      <c r="D105" s="438" t="s">
        <v>65</v>
      </c>
      <c r="E105" s="438" t="s">
        <v>64</v>
      </c>
      <c r="F105" s="439"/>
      <c r="G105" s="439"/>
      <c r="H105" s="508">
        <v>4000</v>
      </c>
      <c r="I105" s="441">
        <f>финансир!L101+финансир!M101</f>
        <v>0</v>
      </c>
      <c r="J105" s="432" t="s">
        <v>89</v>
      </c>
      <c r="K105" s="526" t="s">
        <v>527</v>
      </c>
      <c r="L105" s="439"/>
      <c r="M105" s="510"/>
    </row>
    <row r="106" spans="1:13" s="434" customFormat="1" ht="97.5" customHeight="1" x14ac:dyDescent="0.25">
      <c r="A106" s="462" t="s">
        <v>376</v>
      </c>
      <c r="B106" s="507" t="s">
        <v>291</v>
      </c>
      <c r="C106" s="665"/>
      <c r="D106" s="438" t="s">
        <v>65</v>
      </c>
      <c r="E106" s="438" t="s">
        <v>64</v>
      </c>
      <c r="F106" s="439"/>
      <c r="G106" s="439"/>
      <c r="H106" s="508">
        <v>3000</v>
      </c>
      <c r="I106" s="441">
        <f>финансир!L102+финансир!M102</f>
        <v>0</v>
      </c>
      <c r="J106" s="432" t="s">
        <v>89</v>
      </c>
      <c r="K106" s="526" t="s">
        <v>528</v>
      </c>
      <c r="L106" s="439"/>
      <c r="M106" s="510"/>
    </row>
    <row r="107" spans="1:13" ht="51" x14ac:dyDescent="0.25">
      <c r="A107" s="9" t="s">
        <v>377</v>
      </c>
      <c r="B107" s="10" t="s">
        <v>292</v>
      </c>
      <c r="C107" s="665"/>
      <c r="D107" s="26"/>
      <c r="E107" s="26"/>
      <c r="F107" s="26"/>
      <c r="G107" s="26"/>
      <c r="H107" s="24">
        <v>0</v>
      </c>
      <c r="I107" s="19">
        <f>финансир!L103+финансир!M103</f>
        <v>0</v>
      </c>
      <c r="J107" s="35"/>
      <c r="K107" s="35"/>
      <c r="L107" s="26"/>
      <c r="M107" s="2"/>
    </row>
    <row r="108" spans="1:13" ht="51" x14ac:dyDescent="0.25">
      <c r="A108" s="9" t="s">
        <v>378</v>
      </c>
      <c r="B108" s="10" t="s">
        <v>293</v>
      </c>
      <c r="C108" s="665"/>
      <c r="D108" s="65"/>
      <c r="E108" s="65"/>
      <c r="F108" s="65"/>
      <c r="G108" s="65"/>
      <c r="H108" s="24">
        <v>0</v>
      </c>
      <c r="I108" s="19">
        <f>финансир!L104+финансир!M104</f>
        <v>0</v>
      </c>
      <c r="J108" s="35"/>
      <c r="K108" s="35"/>
      <c r="L108" s="26"/>
      <c r="M108" s="2"/>
    </row>
    <row r="109" spans="1:13" ht="38.25" x14ac:dyDescent="0.25">
      <c r="A109" s="9" t="s">
        <v>379</v>
      </c>
      <c r="B109" s="10" t="s">
        <v>294</v>
      </c>
      <c r="C109" s="665"/>
      <c r="D109" s="65"/>
      <c r="E109" s="65"/>
      <c r="F109" s="65"/>
      <c r="G109" s="65"/>
      <c r="H109" s="24">
        <v>0</v>
      </c>
      <c r="I109" s="19">
        <f>финансир!L105+финансир!M105</f>
        <v>0</v>
      </c>
      <c r="J109" s="35"/>
      <c r="K109" s="35"/>
      <c r="L109" s="26"/>
      <c r="M109" s="2"/>
    </row>
    <row r="110" spans="1:13" ht="38.25" x14ac:dyDescent="0.25">
      <c r="A110" s="9" t="s">
        <v>380</v>
      </c>
      <c r="B110" s="10" t="s">
        <v>286</v>
      </c>
      <c r="C110" s="665"/>
      <c r="D110" s="65"/>
      <c r="E110" s="65"/>
      <c r="F110" s="65"/>
      <c r="G110" s="65"/>
      <c r="H110" s="24">
        <v>0</v>
      </c>
      <c r="I110" s="19">
        <f>финансир!L106+финансир!M106</f>
        <v>0</v>
      </c>
      <c r="J110" s="22"/>
      <c r="K110" s="34"/>
      <c r="L110" s="26"/>
      <c r="M110" s="2"/>
    </row>
    <row r="111" spans="1:13" s="434" customFormat="1" ht="76.5" x14ac:dyDescent="0.25">
      <c r="A111" s="462" t="s">
        <v>381</v>
      </c>
      <c r="B111" s="507" t="s">
        <v>295</v>
      </c>
      <c r="C111" s="665"/>
      <c r="D111" s="439"/>
      <c r="E111" s="439"/>
      <c r="F111" s="439"/>
      <c r="G111" s="439"/>
      <c r="H111" s="508">
        <v>0</v>
      </c>
      <c r="I111" s="441">
        <f>финансир!L107+финансир!M107</f>
        <v>0</v>
      </c>
      <c r="J111" s="432"/>
      <c r="K111" s="432"/>
      <c r="L111" s="439"/>
      <c r="M111" s="510"/>
    </row>
    <row r="112" spans="1:13" s="434" customFormat="1" ht="38.25" x14ac:dyDescent="0.25">
      <c r="A112" s="462" t="s">
        <v>382</v>
      </c>
      <c r="B112" s="507" t="s">
        <v>296</v>
      </c>
      <c r="C112" s="665"/>
      <c r="D112" s="438" t="s">
        <v>65</v>
      </c>
      <c r="E112" s="438" t="s">
        <v>64</v>
      </c>
      <c r="F112" s="439"/>
      <c r="G112" s="439"/>
      <c r="H112" s="508">
        <f>195+35</f>
        <v>230</v>
      </c>
      <c r="I112" s="441">
        <f>финансир!L108+финансир!M108</f>
        <v>155</v>
      </c>
      <c r="J112" s="432"/>
      <c r="K112" s="432"/>
      <c r="L112" s="439"/>
      <c r="M112" s="510"/>
    </row>
    <row r="113" spans="1:14" s="434" customFormat="1" ht="63.75" x14ac:dyDescent="0.25">
      <c r="A113" s="462" t="s">
        <v>383</v>
      </c>
      <c r="B113" s="507" t="s">
        <v>297</v>
      </c>
      <c r="C113" s="665"/>
      <c r="D113" s="438" t="s">
        <v>65</v>
      </c>
      <c r="E113" s="438" t="s">
        <v>65</v>
      </c>
      <c r="F113" s="438"/>
      <c r="G113" s="438"/>
      <c r="H113" s="508">
        <v>50</v>
      </c>
      <c r="I113" s="441">
        <f>финансир!L109+финансир!M109</f>
        <v>50</v>
      </c>
      <c r="J113" s="452" t="s">
        <v>90</v>
      </c>
      <c r="K113" s="526" t="s">
        <v>529</v>
      </c>
      <c r="L113" s="439"/>
      <c r="M113" s="510"/>
    </row>
    <row r="114" spans="1:14" s="434" customFormat="1" ht="102" x14ac:dyDescent="0.25">
      <c r="A114" s="462" t="s">
        <v>384</v>
      </c>
      <c r="B114" s="507" t="s">
        <v>298</v>
      </c>
      <c r="C114" s="665"/>
      <c r="D114" s="438" t="s">
        <v>65</v>
      </c>
      <c r="E114" s="438" t="s">
        <v>64</v>
      </c>
      <c r="F114" s="439"/>
      <c r="G114" s="439"/>
      <c r="H114" s="508">
        <f>145+35</f>
        <v>180</v>
      </c>
      <c r="I114" s="441">
        <f>финансир!L110+финансир!M110</f>
        <v>105</v>
      </c>
      <c r="J114" s="432"/>
      <c r="K114" s="432"/>
      <c r="L114" s="439"/>
      <c r="M114" s="510"/>
    </row>
    <row r="115" spans="1:14" s="434" customFormat="1" ht="102" x14ac:dyDescent="0.25">
      <c r="A115" s="462" t="s">
        <v>385</v>
      </c>
      <c r="B115" s="507" t="s">
        <v>299</v>
      </c>
      <c r="C115" s="665"/>
      <c r="D115" s="438" t="s">
        <v>65</v>
      </c>
      <c r="E115" s="438" t="s">
        <v>65</v>
      </c>
      <c r="F115" s="438"/>
      <c r="G115" s="438"/>
      <c r="H115" s="508">
        <v>50</v>
      </c>
      <c r="I115" s="441">
        <f>финансир!L111+финансир!M111</f>
        <v>50</v>
      </c>
      <c r="J115" s="452" t="s">
        <v>91</v>
      </c>
      <c r="K115" s="526" t="s">
        <v>530</v>
      </c>
      <c r="L115" s="439"/>
      <c r="M115" s="510"/>
    </row>
    <row r="116" spans="1:14" s="434" customFormat="1" ht="96" customHeight="1" x14ac:dyDescent="0.25">
      <c r="A116" s="462" t="s">
        <v>386</v>
      </c>
      <c r="B116" s="507" t="s">
        <v>300</v>
      </c>
      <c r="C116" s="665"/>
      <c r="D116" s="438" t="s">
        <v>65</v>
      </c>
      <c r="E116" s="438" t="s">
        <v>64</v>
      </c>
      <c r="F116" s="438"/>
      <c r="G116" s="438"/>
      <c r="H116" s="508">
        <v>20</v>
      </c>
      <c r="I116" s="441">
        <f>финансир!L112+финансир!M112</f>
        <v>30</v>
      </c>
      <c r="J116" s="452" t="s">
        <v>92</v>
      </c>
      <c r="K116" s="527" t="s">
        <v>531</v>
      </c>
      <c r="L116" s="439"/>
      <c r="M116" s="510"/>
    </row>
    <row r="117" spans="1:14" s="434" customFormat="1" ht="76.5" x14ac:dyDescent="0.25">
      <c r="A117" s="462" t="s">
        <v>387</v>
      </c>
      <c r="B117" s="507" t="s">
        <v>301</v>
      </c>
      <c r="C117" s="665"/>
      <c r="D117" s="438" t="s">
        <v>65</v>
      </c>
      <c r="E117" s="438" t="s">
        <v>66</v>
      </c>
      <c r="F117" s="438"/>
      <c r="G117" s="438"/>
      <c r="H117" s="508">
        <v>50</v>
      </c>
      <c r="I117" s="441">
        <f>финансир!L113+финансир!M113</f>
        <v>25</v>
      </c>
      <c r="J117" s="452" t="s">
        <v>92</v>
      </c>
      <c r="K117" s="528" t="s">
        <v>532</v>
      </c>
      <c r="L117" s="439"/>
      <c r="M117" s="510"/>
    </row>
    <row r="118" spans="1:14" s="434" customFormat="1" ht="51" x14ac:dyDescent="0.25">
      <c r="A118" s="462" t="s">
        <v>388</v>
      </c>
      <c r="B118" s="507" t="s">
        <v>302</v>
      </c>
      <c r="C118" s="665"/>
      <c r="D118" s="438" t="s">
        <v>65</v>
      </c>
      <c r="E118" s="438" t="s">
        <v>65</v>
      </c>
      <c r="F118" s="438"/>
      <c r="G118" s="438"/>
      <c r="H118" s="508">
        <v>60</v>
      </c>
      <c r="I118" s="441">
        <f>финансир!L114+финансир!M114</f>
        <v>0</v>
      </c>
      <c r="J118" s="452" t="s">
        <v>93</v>
      </c>
      <c r="K118" s="527" t="s">
        <v>533</v>
      </c>
      <c r="L118" s="439"/>
      <c r="M118" s="510"/>
    </row>
    <row r="119" spans="1:14" x14ac:dyDescent="0.25">
      <c r="A119" s="9" t="s">
        <v>389</v>
      </c>
      <c r="B119" s="10" t="s">
        <v>173</v>
      </c>
      <c r="C119" s="665"/>
      <c r="D119" s="65" t="s">
        <v>66</v>
      </c>
      <c r="E119" s="65" t="s">
        <v>66</v>
      </c>
      <c r="F119" s="26"/>
      <c r="G119" s="26"/>
      <c r="H119" s="24">
        <v>4800</v>
      </c>
      <c r="I119" s="19">
        <f>финансир!L115+финансир!M115</f>
        <v>4174.1549999999997</v>
      </c>
      <c r="J119" s="35"/>
      <c r="K119" s="35"/>
      <c r="L119" s="26"/>
      <c r="M119" s="2"/>
    </row>
    <row r="120" spans="1:14" s="434" customFormat="1" ht="175.5" customHeight="1" thickBot="1" x14ac:dyDescent="0.3">
      <c r="A120" s="462" t="s">
        <v>390</v>
      </c>
      <c r="B120" s="507" t="s">
        <v>303</v>
      </c>
      <c r="C120" s="666"/>
      <c r="D120" s="438" t="s">
        <v>66</v>
      </c>
      <c r="E120" s="438" t="s">
        <v>66</v>
      </c>
      <c r="F120" s="438"/>
      <c r="G120" s="438"/>
      <c r="H120" s="508">
        <v>4800</v>
      </c>
      <c r="I120" s="441">
        <f>финансир!L116+финансир!M116</f>
        <v>4174.1549999999997</v>
      </c>
      <c r="J120" s="452"/>
      <c r="K120" s="509" t="s">
        <v>534</v>
      </c>
      <c r="L120" s="439"/>
      <c r="M120" s="510"/>
    </row>
    <row r="121" spans="1:14" s="434" customFormat="1" x14ac:dyDescent="0.25">
      <c r="A121" s="667" t="s">
        <v>489</v>
      </c>
      <c r="B121" s="668"/>
      <c r="C121" s="465"/>
      <c r="D121" s="466"/>
      <c r="E121" s="467"/>
      <c r="F121" s="471"/>
      <c r="G121" s="471"/>
      <c r="H121" s="511"/>
      <c r="I121" s="512"/>
      <c r="J121" s="513"/>
      <c r="K121" s="471"/>
      <c r="L121" s="471"/>
      <c r="M121" s="472"/>
    </row>
    <row r="122" spans="1:14" s="434" customFormat="1" ht="64.5" thickBot="1" x14ac:dyDescent="0.3">
      <c r="A122" s="451"/>
      <c r="B122" s="452" t="s">
        <v>457</v>
      </c>
      <c r="C122" s="465"/>
      <c r="D122" s="473"/>
      <c r="E122" s="454"/>
      <c r="F122" s="468"/>
      <c r="G122" s="469"/>
      <c r="H122" s="511">
        <f>26.79+48.41</f>
        <v>75.199999999999989</v>
      </c>
      <c r="I122" s="512"/>
      <c r="J122" s="514"/>
      <c r="K122" s="515">
        <v>0</v>
      </c>
      <c r="L122" s="516"/>
      <c r="M122" s="472"/>
    </row>
    <row r="123" spans="1:14" s="434" customFormat="1" ht="90" thickBot="1" x14ac:dyDescent="0.3">
      <c r="A123" s="451"/>
      <c r="B123" s="452" t="s">
        <v>449</v>
      </c>
      <c r="C123" s="465"/>
      <c r="D123" s="473"/>
      <c r="E123" s="454"/>
      <c r="F123" s="468"/>
      <c r="G123" s="469"/>
      <c r="H123" s="511">
        <f>10.12+18.28</f>
        <v>28.4</v>
      </c>
      <c r="I123" s="512"/>
      <c r="J123" s="517"/>
      <c r="K123" s="515">
        <v>0</v>
      </c>
      <c r="L123" s="516"/>
      <c r="M123" s="472"/>
    </row>
    <row r="124" spans="1:14" s="434" customFormat="1" ht="51" x14ac:dyDescent="0.25">
      <c r="A124" s="451"/>
      <c r="B124" s="452" t="s">
        <v>458</v>
      </c>
      <c r="C124" s="465"/>
      <c r="D124" s="473"/>
      <c r="E124" s="454"/>
      <c r="F124" s="468"/>
      <c r="G124" s="469"/>
      <c r="H124" s="511">
        <f>1.37+2.47</f>
        <v>3.8400000000000003</v>
      </c>
      <c r="I124" s="512"/>
      <c r="J124" s="518"/>
      <c r="K124" s="515">
        <v>0</v>
      </c>
      <c r="L124" s="516"/>
      <c r="M124" s="472"/>
    </row>
    <row r="125" spans="1:14" s="434" customFormat="1" ht="25.5" x14ac:dyDescent="0.25">
      <c r="A125" s="519" t="s">
        <v>196</v>
      </c>
      <c r="B125" s="520" t="s">
        <v>174</v>
      </c>
      <c r="C125" s="659" t="s">
        <v>4</v>
      </c>
      <c r="D125" s="438"/>
      <c r="E125" s="438"/>
      <c r="F125" s="438"/>
      <c r="G125" s="438"/>
      <c r="H125" s="521">
        <f>H126+H137+H143+H144+H145+H148+H149</f>
        <v>301925.10000000003</v>
      </c>
      <c r="I125" s="521">
        <f>I126+I137+I143+I144+I145+I148+I149</f>
        <v>268776.42299999995</v>
      </c>
      <c r="J125" s="432"/>
      <c r="K125" s="522"/>
      <c r="L125" s="439"/>
      <c r="M125" s="433">
        <f>I125/H125</f>
        <v>0.89020893923691646</v>
      </c>
    </row>
    <row r="126" spans="1:14" s="434" customFormat="1" ht="51" x14ac:dyDescent="0.25">
      <c r="A126" s="523" t="s">
        <v>391</v>
      </c>
      <c r="B126" s="452" t="s">
        <v>175</v>
      </c>
      <c r="C126" s="669"/>
      <c r="D126" s="438" t="s">
        <v>63</v>
      </c>
      <c r="E126" s="438" t="s">
        <v>64</v>
      </c>
      <c r="F126" s="438"/>
      <c r="G126" s="438"/>
      <c r="H126" s="463">
        <f>8031.1+7771.1+12533.6</f>
        <v>28335.800000000003</v>
      </c>
      <c r="I126" s="441">
        <f>финансир!$M$120</f>
        <v>19737.558000000001</v>
      </c>
      <c r="J126" s="442" t="s">
        <v>535</v>
      </c>
      <c r="K126" s="498" t="s">
        <v>613</v>
      </c>
      <c r="L126" s="439"/>
      <c r="M126" s="433">
        <f t="shared" ref="M126:M149" si="2">I126/H126</f>
        <v>0.69655905250601713</v>
      </c>
    </row>
    <row r="127" spans="1:14" s="434" customFormat="1" ht="76.5" x14ac:dyDescent="0.25">
      <c r="A127" s="523" t="s">
        <v>408</v>
      </c>
      <c r="B127" s="452" t="s">
        <v>392</v>
      </c>
      <c r="C127" s="660"/>
      <c r="D127" s="438" t="s">
        <v>63</v>
      </c>
      <c r="E127" s="438" t="s">
        <v>64</v>
      </c>
      <c r="F127" s="438"/>
      <c r="G127" s="438"/>
      <c r="H127" s="463">
        <f>270.8+270.8+270.8</f>
        <v>812.40000000000009</v>
      </c>
      <c r="I127" s="441">
        <f>финансир!M121</f>
        <v>860.2</v>
      </c>
      <c r="J127" s="442" t="s">
        <v>56</v>
      </c>
      <c r="K127" s="498" t="s">
        <v>612</v>
      </c>
      <c r="L127" s="439"/>
      <c r="M127" s="433">
        <f t="shared" si="2"/>
        <v>1.0588380108321023</v>
      </c>
    </row>
    <row r="128" spans="1:14" s="603" customFormat="1" ht="76.5" x14ac:dyDescent="0.25">
      <c r="A128" s="604" t="s">
        <v>409</v>
      </c>
      <c r="B128" s="605" t="s">
        <v>393</v>
      </c>
      <c r="C128" s="606" t="s">
        <v>463</v>
      </c>
      <c r="D128" s="600" t="s">
        <v>63</v>
      </c>
      <c r="E128" s="600" t="s">
        <v>64</v>
      </c>
      <c r="F128" s="600"/>
      <c r="G128" s="600"/>
      <c r="H128" s="607">
        <f>3*259.2</f>
        <v>777.59999999999991</v>
      </c>
      <c r="I128" s="608">
        <f>финансир!M122</f>
        <v>1124.2248164491598</v>
      </c>
      <c r="J128" s="609" t="s">
        <v>57</v>
      </c>
      <c r="K128" s="611" t="s">
        <v>608</v>
      </c>
      <c r="L128" s="601" t="s">
        <v>619</v>
      </c>
      <c r="M128" s="602">
        <f t="shared" si="2"/>
        <v>1.4457623668327675</v>
      </c>
      <c r="N128" s="603" t="s">
        <v>614</v>
      </c>
    </row>
    <row r="129" spans="1:15" s="434" customFormat="1" ht="51" x14ac:dyDescent="0.25">
      <c r="A129" s="523" t="s">
        <v>410</v>
      </c>
      <c r="B129" s="452" t="s">
        <v>394</v>
      </c>
      <c r="C129" s="659" t="s">
        <v>464</v>
      </c>
      <c r="D129" s="438" t="s">
        <v>63</v>
      </c>
      <c r="E129" s="438" t="s">
        <v>64</v>
      </c>
      <c r="F129" s="438"/>
      <c r="G129" s="438"/>
      <c r="H129" s="463">
        <f>3*59.7</f>
        <v>179.10000000000002</v>
      </c>
      <c r="I129" s="441">
        <f>финансир!M123</f>
        <v>86.890635996620048</v>
      </c>
      <c r="J129" s="442" t="s">
        <v>536</v>
      </c>
      <c r="K129" s="498" t="s">
        <v>615</v>
      </c>
      <c r="L129" s="439"/>
      <c r="M129" s="433">
        <f t="shared" si="2"/>
        <v>0.48515151310228943</v>
      </c>
      <c r="N129" s="434">
        <v>3374</v>
      </c>
    </row>
    <row r="130" spans="1:15" s="434" customFormat="1" ht="76.5" x14ac:dyDescent="0.25">
      <c r="A130" s="523" t="s">
        <v>411</v>
      </c>
      <c r="B130" s="452" t="s">
        <v>395</v>
      </c>
      <c r="C130" s="669"/>
      <c r="D130" s="438" t="s">
        <v>63</v>
      </c>
      <c r="E130" s="438" t="s">
        <v>64</v>
      </c>
      <c r="F130" s="438"/>
      <c r="G130" s="438"/>
      <c r="H130" s="463">
        <f>3*4000</f>
        <v>12000</v>
      </c>
      <c r="I130" s="441">
        <f>финансир!M124</f>
        <v>7314.6678762557522</v>
      </c>
      <c r="J130" s="442" t="s">
        <v>94</v>
      </c>
      <c r="K130" s="498" t="s">
        <v>616</v>
      </c>
      <c r="L130" s="439"/>
      <c r="M130" s="433">
        <f t="shared" si="2"/>
        <v>0.60955565635464604</v>
      </c>
      <c r="N130" s="434">
        <v>500</v>
      </c>
    </row>
    <row r="131" spans="1:15" s="434" customFormat="1" ht="89.25" x14ac:dyDescent="0.25">
      <c r="A131" s="523" t="s">
        <v>412</v>
      </c>
      <c r="B131" s="452" t="s">
        <v>396</v>
      </c>
      <c r="C131" s="660"/>
      <c r="D131" s="438" t="s">
        <v>63</v>
      </c>
      <c r="E131" s="438" t="s">
        <v>64</v>
      </c>
      <c r="F131" s="438"/>
      <c r="G131" s="438"/>
      <c r="H131" s="463">
        <f>3*272.5</f>
        <v>817.5</v>
      </c>
      <c r="I131" s="441">
        <f>финансир!M125</f>
        <v>327.17824786405032</v>
      </c>
      <c r="J131" s="442" t="s">
        <v>58</v>
      </c>
      <c r="K131" s="498" t="s">
        <v>617</v>
      </c>
      <c r="L131" s="439"/>
      <c r="M131" s="433">
        <f t="shared" si="2"/>
        <v>0.4002180402006732</v>
      </c>
      <c r="N131" s="434">
        <v>46</v>
      </c>
    </row>
    <row r="132" spans="1:15" s="603" customFormat="1" ht="51" x14ac:dyDescent="0.25">
      <c r="A132" s="604" t="s">
        <v>413</v>
      </c>
      <c r="B132" s="605" t="s">
        <v>397</v>
      </c>
      <c r="C132" s="606" t="s">
        <v>463</v>
      </c>
      <c r="D132" s="600" t="s">
        <v>63</v>
      </c>
      <c r="E132" s="600" t="s">
        <v>64</v>
      </c>
      <c r="F132" s="600"/>
      <c r="G132" s="600"/>
      <c r="H132" s="607">
        <f>3*691.7</f>
        <v>2075.1000000000004</v>
      </c>
      <c r="I132" s="608">
        <f>финансир!M126</f>
        <v>1391.279685851094</v>
      </c>
      <c r="J132" s="612" t="s">
        <v>127</v>
      </c>
      <c r="K132" s="610" t="s">
        <v>611</v>
      </c>
      <c r="L132" s="601" t="s">
        <v>619</v>
      </c>
      <c r="M132" s="602">
        <f t="shared" si="2"/>
        <v>0.67046392263076171</v>
      </c>
      <c r="O132" s="603" t="s">
        <v>610</v>
      </c>
    </row>
    <row r="133" spans="1:15" s="434" customFormat="1" ht="127.5" x14ac:dyDescent="0.25">
      <c r="A133" s="523" t="s">
        <v>414</v>
      </c>
      <c r="B133" s="452" t="s">
        <v>431</v>
      </c>
      <c r="C133" s="524" t="s">
        <v>460</v>
      </c>
      <c r="D133" s="438" t="s">
        <v>63</v>
      </c>
      <c r="E133" s="438" t="s">
        <v>64</v>
      </c>
      <c r="F133" s="438"/>
      <c r="G133" s="438"/>
      <c r="H133" s="463">
        <f>3*1474.2</f>
        <v>4422.6000000000004</v>
      </c>
      <c r="I133" s="441">
        <f>финансир!M127</f>
        <v>3261.8991835508409</v>
      </c>
      <c r="J133" s="442" t="s">
        <v>537</v>
      </c>
      <c r="K133" s="498" t="s">
        <v>618</v>
      </c>
      <c r="L133" s="439"/>
      <c r="M133" s="433">
        <f t="shared" si="2"/>
        <v>0.73755238627749298</v>
      </c>
    </row>
    <row r="134" spans="1:15" s="603" customFormat="1" ht="38.25" x14ac:dyDescent="0.25">
      <c r="A134" s="604" t="s">
        <v>415</v>
      </c>
      <c r="B134" s="605" t="s">
        <v>398</v>
      </c>
      <c r="C134" s="606"/>
      <c r="D134" s="600" t="s">
        <v>63</v>
      </c>
      <c r="E134" s="600" t="s">
        <v>64</v>
      </c>
      <c r="F134" s="601"/>
      <c r="G134" s="601"/>
      <c r="H134" s="607">
        <f>3*74.9</f>
        <v>224.70000000000002</v>
      </c>
      <c r="I134" s="608">
        <f>финансир!M128</f>
        <v>111.39297173974276</v>
      </c>
      <c r="J134" s="612" t="s">
        <v>95</v>
      </c>
      <c r="K134" s="610" t="s">
        <v>538</v>
      </c>
      <c r="L134" s="601" t="s">
        <v>619</v>
      </c>
      <c r="M134" s="602">
        <f t="shared" si="2"/>
        <v>0.49574086221514352</v>
      </c>
      <c r="O134" s="603" t="s">
        <v>610</v>
      </c>
    </row>
    <row r="135" spans="1:15" s="434" customFormat="1" ht="216.75" x14ac:dyDescent="0.25">
      <c r="A135" s="523" t="s">
        <v>416</v>
      </c>
      <c r="B135" s="452" t="s">
        <v>432</v>
      </c>
      <c r="C135" s="524" t="s">
        <v>462</v>
      </c>
      <c r="D135" s="438" t="s">
        <v>63</v>
      </c>
      <c r="E135" s="438" t="s">
        <v>64</v>
      </c>
      <c r="F135" s="439"/>
      <c r="G135" s="439"/>
      <c r="H135" s="463">
        <f>3*668.1</f>
        <v>2004.3000000000002</v>
      </c>
      <c r="I135" s="441">
        <f>финансир!M129</f>
        <v>4735.9514657778618</v>
      </c>
      <c r="J135" s="442" t="s">
        <v>96</v>
      </c>
      <c r="K135" s="498" t="s">
        <v>609</v>
      </c>
      <c r="L135" s="439"/>
      <c r="M135" s="433">
        <f t="shared" si="2"/>
        <v>2.3628955075477029</v>
      </c>
    </row>
    <row r="136" spans="1:15" s="434" customFormat="1" ht="168.75" customHeight="1" x14ac:dyDescent="0.25">
      <c r="A136" s="462" t="s">
        <v>417</v>
      </c>
      <c r="B136" s="452" t="s">
        <v>399</v>
      </c>
      <c r="C136" s="524" t="s">
        <v>461</v>
      </c>
      <c r="D136" s="438" t="s">
        <v>65</v>
      </c>
      <c r="E136" s="438" t="s">
        <v>66</v>
      </c>
      <c r="F136" s="439"/>
      <c r="G136" s="439"/>
      <c r="H136" s="463">
        <f>260+4762.5</f>
        <v>5022.5</v>
      </c>
      <c r="I136" s="441">
        <f>финансир!M130</f>
        <v>523.93818094075687</v>
      </c>
      <c r="J136" s="442" t="s">
        <v>59</v>
      </c>
      <c r="K136" s="464" t="s">
        <v>539</v>
      </c>
      <c r="L136" s="439"/>
      <c r="M136" s="433">
        <f t="shared" si="2"/>
        <v>0.10431820426894114</v>
      </c>
    </row>
    <row r="137" spans="1:15" s="434" customFormat="1" ht="57" customHeight="1" x14ac:dyDescent="0.25">
      <c r="A137" s="462" t="s">
        <v>418</v>
      </c>
      <c r="B137" s="452" t="s">
        <v>400</v>
      </c>
      <c r="C137" s="659" t="s">
        <v>460</v>
      </c>
      <c r="D137" s="438" t="s">
        <v>63</v>
      </c>
      <c r="E137" s="438" t="s">
        <v>64</v>
      </c>
      <c r="F137" s="438"/>
      <c r="G137" s="438"/>
      <c r="H137" s="463">
        <f>3751.3+3164.4+4338.3</f>
        <v>11254</v>
      </c>
      <c r="I137" s="441">
        <f>I138+I141+I142</f>
        <v>8393.5059999999994</v>
      </c>
      <c r="J137" s="470" t="s">
        <v>98</v>
      </c>
      <c r="K137" s="498" t="s">
        <v>540</v>
      </c>
      <c r="L137" s="439"/>
      <c r="M137" s="433">
        <f t="shared" si="2"/>
        <v>0.74582424027012617</v>
      </c>
    </row>
    <row r="138" spans="1:15" s="434" customFormat="1" ht="89.25" x14ac:dyDescent="0.25">
      <c r="A138" s="462" t="s">
        <v>419</v>
      </c>
      <c r="B138" s="452" t="s">
        <v>433</v>
      </c>
      <c r="C138" s="669"/>
      <c r="D138" s="438" t="s">
        <v>63</v>
      </c>
      <c r="E138" s="438" t="s">
        <v>64</v>
      </c>
      <c r="F138" s="439"/>
      <c r="G138" s="439"/>
      <c r="H138" s="463">
        <f>3*154.5</f>
        <v>463.5</v>
      </c>
      <c r="I138" s="441">
        <f>финансир!L132+финансир!M132</f>
        <v>472.26099999999997</v>
      </c>
      <c r="J138" s="470"/>
      <c r="K138" s="498"/>
      <c r="L138" s="439"/>
      <c r="M138" s="433">
        <f t="shared" si="2"/>
        <v>1.0189018338727076</v>
      </c>
    </row>
    <row r="139" spans="1:15" s="434" customFormat="1" ht="127.5" x14ac:dyDescent="0.25">
      <c r="A139" s="462" t="s">
        <v>420</v>
      </c>
      <c r="B139" s="452" t="s">
        <v>434</v>
      </c>
      <c r="C139" s="669"/>
      <c r="D139" s="438" t="s">
        <v>63</v>
      </c>
      <c r="E139" s="438" t="s">
        <v>64</v>
      </c>
      <c r="F139" s="439"/>
      <c r="G139" s="439"/>
      <c r="H139" s="463">
        <f>185.4+154.5+216.3</f>
        <v>556.20000000000005</v>
      </c>
      <c r="I139" s="441">
        <f>финансир!L133+финансир!M133</f>
        <v>352.59699999999998</v>
      </c>
      <c r="J139" s="442" t="s">
        <v>97</v>
      </c>
      <c r="K139" s="498" t="s">
        <v>97</v>
      </c>
      <c r="L139" s="439"/>
      <c r="M139" s="433">
        <f t="shared" si="2"/>
        <v>0.63393923049262846</v>
      </c>
    </row>
    <row r="140" spans="1:15" s="434" customFormat="1" ht="140.25" x14ac:dyDescent="0.25">
      <c r="A140" s="462" t="s">
        <v>421</v>
      </c>
      <c r="B140" s="452" t="s">
        <v>435</v>
      </c>
      <c r="C140" s="669"/>
      <c r="D140" s="440">
        <v>0</v>
      </c>
      <c r="E140" s="440">
        <v>0</v>
      </c>
      <c r="F140" s="439"/>
      <c r="G140" s="439"/>
      <c r="H140" s="463">
        <v>0</v>
      </c>
      <c r="I140" s="441">
        <f>финансир!L134+финансир!M134</f>
        <v>119.664</v>
      </c>
      <c r="J140" s="470"/>
      <c r="K140" s="498"/>
      <c r="L140" s="439"/>
      <c r="M140" s="433" t="e">
        <f t="shared" si="2"/>
        <v>#DIV/0!</v>
      </c>
    </row>
    <row r="141" spans="1:15" s="434" customFormat="1" ht="63.75" x14ac:dyDescent="0.25">
      <c r="A141" s="462" t="s">
        <v>422</v>
      </c>
      <c r="B141" s="451" t="s">
        <v>401</v>
      </c>
      <c r="C141" s="669"/>
      <c r="D141" s="438" t="s">
        <v>63</v>
      </c>
      <c r="E141" s="438" t="s">
        <v>64</v>
      </c>
      <c r="F141" s="439"/>
      <c r="G141" s="439"/>
      <c r="H141" s="463">
        <f>3*75</f>
        <v>225</v>
      </c>
      <c r="I141" s="441">
        <f>финансир!L135+финансир!M135</f>
        <v>261.83</v>
      </c>
      <c r="J141" s="442" t="s">
        <v>128</v>
      </c>
      <c r="K141" s="525" t="s">
        <v>541</v>
      </c>
      <c r="L141" s="439"/>
      <c r="M141" s="433">
        <f t="shared" si="2"/>
        <v>1.1636888888888888</v>
      </c>
    </row>
    <row r="142" spans="1:15" s="434" customFormat="1" ht="38.25" x14ac:dyDescent="0.25">
      <c r="A142" s="462" t="s">
        <v>423</v>
      </c>
      <c r="B142" s="452" t="s">
        <v>402</v>
      </c>
      <c r="C142" s="660"/>
      <c r="D142" s="438" t="s">
        <v>63</v>
      </c>
      <c r="E142" s="438" t="s">
        <v>64</v>
      </c>
      <c r="F142" s="439"/>
      <c r="G142" s="439"/>
      <c r="H142" s="463">
        <f>3521.8+2934.9+4108.8</f>
        <v>10565.5</v>
      </c>
      <c r="I142" s="441">
        <f>финансир!L136+финансир!M136</f>
        <v>7659.415</v>
      </c>
      <c r="J142" s="442" t="s">
        <v>98</v>
      </c>
      <c r="K142" s="522" t="s">
        <v>542</v>
      </c>
      <c r="L142" s="439"/>
      <c r="M142" s="433">
        <f t="shared" si="2"/>
        <v>0.72494581420661586</v>
      </c>
    </row>
    <row r="143" spans="1:15" s="434" customFormat="1" ht="63.75" x14ac:dyDescent="0.25">
      <c r="A143" s="462" t="s">
        <v>424</v>
      </c>
      <c r="B143" s="452" t="s">
        <v>403</v>
      </c>
      <c r="C143" s="659" t="s">
        <v>459</v>
      </c>
      <c r="D143" s="440">
        <v>0</v>
      </c>
      <c r="E143" s="440">
        <v>0</v>
      </c>
      <c r="F143" s="443"/>
      <c r="G143" s="443"/>
      <c r="H143" s="463">
        <v>0</v>
      </c>
      <c r="I143" s="441">
        <f>финансир!L137+финансир!M137</f>
        <v>0</v>
      </c>
      <c r="J143" s="470"/>
      <c r="K143" s="498"/>
      <c r="L143" s="439"/>
      <c r="M143" s="433" t="e">
        <f t="shared" si="2"/>
        <v>#DIV/0!</v>
      </c>
    </row>
    <row r="144" spans="1:15" s="434" customFormat="1" ht="63.75" x14ac:dyDescent="0.25">
      <c r="A144" s="462" t="s">
        <v>425</v>
      </c>
      <c r="B144" s="452" t="s">
        <v>436</v>
      </c>
      <c r="C144" s="660"/>
      <c r="D144" s="438" t="s">
        <v>63</v>
      </c>
      <c r="E144" s="438" t="s">
        <v>64</v>
      </c>
      <c r="F144" s="439"/>
      <c r="G144" s="439"/>
      <c r="H144" s="463">
        <f>3*882.8</f>
        <v>2648.3999999999996</v>
      </c>
      <c r="I144" s="441">
        <f>финансир!L138+финансир!M138</f>
        <v>2399.8049999999998</v>
      </c>
      <c r="J144" s="442" t="s">
        <v>99</v>
      </c>
      <c r="K144" s="498" t="s">
        <v>543</v>
      </c>
      <c r="L144" s="439"/>
      <c r="M144" s="433">
        <f t="shared" si="2"/>
        <v>0.90613389216130502</v>
      </c>
    </row>
    <row r="145" spans="1:13" s="434" customFormat="1" x14ac:dyDescent="0.25">
      <c r="A145" s="462" t="s">
        <v>426</v>
      </c>
      <c r="B145" s="452" t="s">
        <v>404</v>
      </c>
      <c r="C145" s="661" t="s">
        <v>453</v>
      </c>
      <c r="D145" s="443" t="s">
        <v>65</v>
      </c>
      <c r="E145" s="443" t="s">
        <v>65</v>
      </c>
      <c r="F145" s="443"/>
      <c r="G145" s="443"/>
      <c r="H145" s="463">
        <v>150</v>
      </c>
      <c r="I145" s="441">
        <f>финансир!L139+финансир!M139</f>
        <v>21.75</v>
      </c>
      <c r="J145" s="470"/>
      <c r="K145" s="498"/>
      <c r="L145" s="439"/>
      <c r="M145" s="433">
        <f t="shared" si="2"/>
        <v>0.14499999999999999</v>
      </c>
    </row>
    <row r="146" spans="1:13" s="434" customFormat="1" ht="127.5" x14ac:dyDescent="0.25">
      <c r="A146" s="462" t="s">
        <v>427</v>
      </c>
      <c r="B146" s="452" t="s">
        <v>405</v>
      </c>
      <c r="C146" s="662"/>
      <c r="D146" s="443" t="s">
        <v>65</v>
      </c>
      <c r="E146" s="443" t="s">
        <v>65</v>
      </c>
      <c r="F146" s="443"/>
      <c r="G146" s="443"/>
      <c r="H146" s="463">
        <v>50</v>
      </c>
      <c r="I146" s="441">
        <f>финансир!L140+финансир!M140</f>
        <v>21.75</v>
      </c>
      <c r="J146" s="442" t="s">
        <v>100</v>
      </c>
      <c r="K146" s="498" t="s">
        <v>129</v>
      </c>
      <c r="L146" s="439"/>
      <c r="M146" s="433">
        <f t="shared" si="2"/>
        <v>0.435</v>
      </c>
    </row>
    <row r="147" spans="1:13" s="434" customFormat="1" ht="53.25" customHeight="1" x14ac:dyDescent="0.25">
      <c r="A147" s="462" t="s">
        <v>428</v>
      </c>
      <c r="B147" s="452" t="s">
        <v>406</v>
      </c>
      <c r="C147" s="663"/>
      <c r="D147" s="443" t="s">
        <v>65</v>
      </c>
      <c r="E147" s="443" t="s">
        <v>65</v>
      </c>
      <c r="F147" s="443"/>
      <c r="G147" s="443"/>
      <c r="H147" s="463">
        <v>100</v>
      </c>
      <c r="I147" s="441">
        <f>финансир!L141+финансир!M141</f>
        <v>0</v>
      </c>
      <c r="J147" s="442" t="s">
        <v>60</v>
      </c>
      <c r="K147" s="498"/>
      <c r="L147" s="439"/>
      <c r="M147" s="433">
        <f t="shared" si="2"/>
        <v>0</v>
      </c>
    </row>
    <row r="148" spans="1:13" s="434" customFormat="1" ht="89.25" customHeight="1" x14ac:dyDescent="0.25">
      <c r="A148" s="462" t="s">
        <v>429</v>
      </c>
      <c r="B148" s="452" t="s">
        <v>407</v>
      </c>
      <c r="C148" s="437"/>
      <c r="D148" s="438" t="s">
        <v>63</v>
      </c>
      <c r="E148" s="438" t="s">
        <v>64</v>
      </c>
      <c r="F148" s="438"/>
      <c r="G148" s="438"/>
      <c r="H148" s="463">
        <f>3*34239.4</f>
        <v>102718.20000000001</v>
      </c>
      <c r="I148" s="441">
        <f>финансир!L143+финансир!M143</f>
        <v>97595.716</v>
      </c>
      <c r="J148" s="442" t="s">
        <v>130</v>
      </c>
      <c r="K148" s="432" t="s">
        <v>544</v>
      </c>
      <c r="L148" s="439"/>
      <c r="M148" s="433">
        <f t="shared" si="2"/>
        <v>0.95013070711908887</v>
      </c>
    </row>
    <row r="149" spans="1:13" s="434" customFormat="1" ht="146.25" customHeight="1" x14ac:dyDescent="0.25">
      <c r="A149" s="462" t="s">
        <v>430</v>
      </c>
      <c r="B149" s="452" t="s">
        <v>471</v>
      </c>
      <c r="C149" s="437"/>
      <c r="D149" s="438" t="s">
        <v>63</v>
      </c>
      <c r="E149" s="438" t="s">
        <v>64</v>
      </c>
      <c r="F149" s="438"/>
      <c r="G149" s="438"/>
      <c r="H149" s="463">
        <f>3*52272.9</f>
        <v>156818.70000000001</v>
      </c>
      <c r="I149" s="441">
        <f>финансир!L144+финансир!M144</f>
        <v>140628.08799999999</v>
      </c>
      <c r="J149" s="442" t="s">
        <v>61</v>
      </c>
      <c r="K149" s="464" t="s">
        <v>545</v>
      </c>
      <c r="L149" s="451"/>
      <c r="M149" s="433">
        <f t="shared" si="2"/>
        <v>0.89675585883571274</v>
      </c>
    </row>
    <row r="150" spans="1:13" s="434" customFormat="1" x14ac:dyDescent="0.25">
      <c r="A150" s="667" t="s">
        <v>490</v>
      </c>
      <c r="B150" s="668"/>
      <c r="C150" s="465"/>
      <c r="D150" s="466"/>
      <c r="E150" s="467"/>
      <c r="F150" s="468"/>
      <c r="G150" s="469"/>
      <c r="H150" s="469"/>
      <c r="I150" s="469"/>
      <c r="J150" s="470"/>
      <c r="K150" s="471"/>
      <c r="L150" s="471"/>
      <c r="M150" s="472"/>
    </row>
    <row r="151" spans="1:13" s="434" customFormat="1" ht="153.75" x14ac:dyDescent="0.25">
      <c r="A151" s="451"/>
      <c r="B151" s="452" t="s">
        <v>491</v>
      </c>
      <c r="C151" s="465"/>
      <c r="D151" s="473"/>
      <c r="E151" s="454"/>
      <c r="F151" s="474"/>
      <c r="G151" s="475"/>
      <c r="H151" s="475"/>
      <c r="I151" s="475"/>
      <c r="J151" s="476">
        <v>0.59</v>
      </c>
      <c r="K151" s="477">
        <v>0.55000000000000004</v>
      </c>
      <c r="L151" s="478" t="s">
        <v>546</v>
      </c>
      <c r="M151" s="472"/>
    </row>
    <row r="152" spans="1:13" s="434" customFormat="1" ht="165.75" x14ac:dyDescent="0.25">
      <c r="A152" s="451"/>
      <c r="B152" s="452" t="s">
        <v>492</v>
      </c>
      <c r="C152" s="465"/>
      <c r="D152" s="473"/>
      <c r="E152" s="454"/>
      <c r="F152" s="474"/>
      <c r="G152" s="475"/>
      <c r="H152" s="475"/>
      <c r="I152" s="475"/>
      <c r="J152" s="479">
        <v>0.16</v>
      </c>
      <c r="K152" s="480">
        <v>0.26</v>
      </c>
      <c r="L152" s="481" t="s">
        <v>547</v>
      </c>
      <c r="M152" s="472"/>
    </row>
    <row r="153" spans="1:13" s="434" customFormat="1" ht="127.5" x14ac:dyDescent="0.25">
      <c r="A153" s="451"/>
      <c r="B153" s="452" t="s">
        <v>450</v>
      </c>
      <c r="C153" s="465"/>
      <c r="D153" s="473"/>
      <c r="E153" s="454"/>
      <c r="F153" s="482"/>
      <c r="G153" s="483"/>
      <c r="H153" s="483"/>
      <c r="I153" s="483"/>
      <c r="J153" s="484">
        <v>2689</v>
      </c>
      <c r="K153" s="477">
        <v>2618</v>
      </c>
      <c r="L153" s="485" t="s">
        <v>548</v>
      </c>
      <c r="M153" s="472"/>
    </row>
    <row r="154" spans="1:13" s="434" customFormat="1" ht="64.5" x14ac:dyDescent="0.25">
      <c r="A154" s="451"/>
      <c r="B154" s="486" t="s">
        <v>113</v>
      </c>
      <c r="C154" s="465"/>
      <c r="D154" s="473"/>
      <c r="E154" s="454"/>
      <c r="F154" s="474"/>
      <c r="G154" s="475"/>
      <c r="H154" s="475"/>
      <c r="I154" s="475"/>
      <c r="J154" s="487">
        <v>19925</v>
      </c>
      <c r="K154" s="477">
        <v>21277</v>
      </c>
      <c r="L154" s="478" t="s">
        <v>549</v>
      </c>
      <c r="M154" s="472"/>
    </row>
    <row r="155" spans="1:13" s="434" customFormat="1" ht="76.5" x14ac:dyDescent="0.25">
      <c r="A155" s="451"/>
      <c r="B155" s="452" t="s">
        <v>116</v>
      </c>
      <c r="C155" s="465"/>
      <c r="D155" s="473"/>
      <c r="E155" s="454"/>
      <c r="F155" s="474"/>
      <c r="G155" s="475"/>
      <c r="H155" s="475"/>
      <c r="I155" s="475"/>
      <c r="J155" s="487">
        <v>141</v>
      </c>
      <c r="K155" s="477">
        <v>81</v>
      </c>
      <c r="L155" s="488" t="s">
        <v>550</v>
      </c>
      <c r="M155" s="472"/>
    </row>
    <row r="156" spans="1:13" s="434" customFormat="1" ht="165.75" x14ac:dyDescent="0.25">
      <c r="A156" s="451"/>
      <c r="B156" s="452" t="s">
        <v>117</v>
      </c>
      <c r="C156" s="465"/>
      <c r="D156" s="473"/>
      <c r="E156" s="454"/>
      <c r="F156" s="474"/>
      <c r="G156" s="475"/>
      <c r="H156" s="475"/>
      <c r="I156" s="475"/>
      <c r="J156" s="487">
        <v>4250</v>
      </c>
      <c r="K156" s="477">
        <v>4713</v>
      </c>
      <c r="L156" s="485" t="s">
        <v>118</v>
      </c>
      <c r="M156" s="472"/>
    </row>
    <row r="157" spans="1:13" s="434" customFormat="1" ht="51" x14ac:dyDescent="0.25">
      <c r="A157" s="451"/>
      <c r="B157" s="452" t="s">
        <v>119</v>
      </c>
      <c r="C157" s="465"/>
      <c r="D157" s="473"/>
      <c r="E157" s="454"/>
      <c r="F157" s="474"/>
      <c r="G157" s="475"/>
      <c r="H157" s="475"/>
      <c r="I157" s="475"/>
      <c r="J157" s="489">
        <v>0</v>
      </c>
      <c r="K157" s="489">
        <v>0</v>
      </c>
      <c r="L157" s="485" t="s">
        <v>120</v>
      </c>
      <c r="M157" s="472"/>
    </row>
    <row r="158" spans="1:13" s="434" customFormat="1" ht="127.5" x14ac:dyDescent="0.25">
      <c r="A158" s="451"/>
      <c r="B158" s="452" t="s">
        <v>121</v>
      </c>
      <c r="C158" s="465"/>
      <c r="D158" s="473"/>
      <c r="E158" s="454"/>
      <c r="F158" s="474"/>
      <c r="G158" s="475"/>
      <c r="H158" s="475"/>
      <c r="I158" s="475"/>
      <c r="J158" s="489">
        <v>0</v>
      </c>
      <c r="K158" s="489">
        <v>0</v>
      </c>
      <c r="L158" s="485" t="s">
        <v>122</v>
      </c>
      <c r="M158" s="472"/>
    </row>
    <row r="159" spans="1:13" s="434" customFormat="1" ht="127.5" x14ac:dyDescent="0.25">
      <c r="A159" s="451"/>
      <c r="B159" s="486" t="s">
        <v>123</v>
      </c>
      <c r="C159" s="465"/>
      <c r="D159" s="473"/>
      <c r="E159" s="454"/>
      <c r="F159" s="482"/>
      <c r="G159" s="483"/>
      <c r="H159" s="483"/>
      <c r="I159" s="483"/>
      <c r="J159" s="489">
        <v>0</v>
      </c>
      <c r="K159" s="489">
        <v>0</v>
      </c>
      <c r="L159" s="485" t="s">
        <v>122</v>
      </c>
      <c r="M159" s="472"/>
    </row>
    <row r="160" spans="1:13" s="434" customFormat="1" ht="51.75" x14ac:dyDescent="0.25">
      <c r="A160" s="490" t="s">
        <v>197</v>
      </c>
      <c r="B160" s="491" t="s">
        <v>176</v>
      </c>
      <c r="C160" s="659" t="s">
        <v>454</v>
      </c>
      <c r="D160" s="492"/>
      <c r="E160" s="492"/>
      <c r="F160" s="492"/>
      <c r="G160" s="492"/>
      <c r="H160" s="430">
        <f>H161+H162</f>
        <v>469.79999999999995</v>
      </c>
      <c r="I160" s="430">
        <f>I161+I162</f>
        <v>537.08899999999994</v>
      </c>
      <c r="J160" s="493"/>
      <c r="K160" s="494"/>
      <c r="L160" s="439"/>
      <c r="M160" s="433">
        <f>I160/H160</f>
        <v>1.1432290336313324</v>
      </c>
    </row>
    <row r="161" spans="1:13" s="434" customFormat="1" ht="51" x14ac:dyDescent="0.25">
      <c r="A161" s="495" t="s">
        <v>198</v>
      </c>
      <c r="B161" s="496" t="s">
        <v>364</v>
      </c>
      <c r="C161" s="669"/>
      <c r="D161" s="438" t="s">
        <v>63</v>
      </c>
      <c r="E161" s="438" t="s">
        <v>64</v>
      </c>
      <c r="F161" s="439"/>
      <c r="G161" s="439"/>
      <c r="H161" s="463">
        <f>3*109.6</f>
        <v>328.79999999999995</v>
      </c>
      <c r="I161" s="441">
        <f>финансир!L147+финансир!M147</f>
        <v>238.46600000000001</v>
      </c>
      <c r="J161" s="497" t="s">
        <v>131</v>
      </c>
      <c r="K161" s="498" t="s">
        <v>132</v>
      </c>
      <c r="L161" s="439"/>
      <c r="M161" s="433">
        <f t="shared" ref="M161:M167" si="3">I161/H161</f>
        <v>0.72526155717761565</v>
      </c>
    </row>
    <row r="162" spans="1:13" s="434" customFormat="1" ht="51" x14ac:dyDescent="0.25">
      <c r="A162" s="495" t="s">
        <v>365</v>
      </c>
      <c r="B162" s="496" t="s">
        <v>366</v>
      </c>
      <c r="C162" s="669"/>
      <c r="D162" s="438" t="s">
        <v>63</v>
      </c>
      <c r="E162" s="438" t="s">
        <v>64</v>
      </c>
      <c r="F162" s="439"/>
      <c r="G162" s="439"/>
      <c r="H162" s="463">
        <f>3*47</f>
        <v>141</v>
      </c>
      <c r="I162" s="441">
        <f>финансир!L149+финансир!M149</f>
        <v>298.62299999999999</v>
      </c>
      <c r="J162" s="442" t="s">
        <v>62</v>
      </c>
      <c r="K162" s="499" t="s">
        <v>551</v>
      </c>
      <c r="L162" s="439"/>
      <c r="M162" s="433">
        <f t="shared" si="3"/>
        <v>2.1178936170212763</v>
      </c>
    </row>
    <row r="163" spans="1:13" s="434" customFormat="1" x14ac:dyDescent="0.25">
      <c r="A163" s="667" t="s">
        <v>493</v>
      </c>
      <c r="B163" s="668"/>
      <c r="C163" s="669"/>
      <c r="D163" s="466"/>
      <c r="E163" s="446"/>
      <c r="F163" s="447"/>
      <c r="G163" s="447"/>
      <c r="H163" s="448"/>
      <c r="I163" s="447"/>
      <c r="J163" s="500"/>
      <c r="K163" s="450"/>
      <c r="L163" s="450"/>
      <c r="M163" s="433" t="e">
        <f t="shared" si="3"/>
        <v>#DIV/0!</v>
      </c>
    </row>
    <row r="164" spans="1:13" s="434" customFormat="1" ht="63.75" x14ac:dyDescent="0.25">
      <c r="A164" s="451"/>
      <c r="B164" s="486" t="s">
        <v>124</v>
      </c>
      <c r="C164" s="669"/>
      <c r="D164" s="473"/>
      <c r="E164" s="438"/>
      <c r="F164" s="474"/>
      <c r="G164" s="475"/>
      <c r="H164" s="475"/>
      <c r="I164" s="475"/>
      <c r="J164" s="501">
        <v>12.5</v>
      </c>
      <c r="K164" s="477">
        <v>45.7</v>
      </c>
      <c r="L164" s="502" t="s">
        <v>101</v>
      </c>
      <c r="M164" s="433" t="e">
        <f t="shared" si="3"/>
        <v>#DIV/0!</v>
      </c>
    </row>
    <row r="165" spans="1:13" s="434" customFormat="1" ht="51" x14ac:dyDescent="0.25">
      <c r="A165" s="451"/>
      <c r="B165" s="452" t="s">
        <v>125</v>
      </c>
      <c r="C165" s="669"/>
      <c r="D165" s="473"/>
      <c r="E165" s="438"/>
      <c r="F165" s="503"/>
      <c r="G165" s="503"/>
      <c r="H165" s="503"/>
      <c r="I165" s="503"/>
      <c r="J165" s="504">
        <v>0</v>
      </c>
      <c r="K165" s="489">
        <v>0</v>
      </c>
      <c r="L165" s="505"/>
      <c r="M165" s="433" t="e">
        <f t="shared" si="3"/>
        <v>#DIV/0!</v>
      </c>
    </row>
    <row r="166" spans="1:13" s="434" customFormat="1" ht="114.75" x14ac:dyDescent="0.25">
      <c r="A166" s="451"/>
      <c r="B166" s="452" t="s">
        <v>126</v>
      </c>
      <c r="C166" s="660"/>
      <c r="D166" s="473"/>
      <c r="E166" s="438"/>
      <c r="F166" s="503"/>
      <c r="G166" s="503"/>
      <c r="H166" s="503"/>
      <c r="I166" s="503"/>
      <c r="J166" s="463">
        <v>3.75</v>
      </c>
      <c r="K166" s="506">
        <v>8.85</v>
      </c>
      <c r="L166" s="502" t="s">
        <v>552</v>
      </c>
      <c r="M166" s="433" t="e">
        <f t="shared" si="3"/>
        <v>#DIV/0!</v>
      </c>
    </row>
    <row r="167" spans="1:13" s="434" customFormat="1" ht="29.25" x14ac:dyDescent="0.25">
      <c r="A167" s="426" t="s">
        <v>447</v>
      </c>
      <c r="B167" s="427" t="s">
        <v>443</v>
      </c>
      <c r="C167" s="428"/>
      <c r="D167" s="429"/>
      <c r="E167" s="429"/>
      <c r="F167" s="429"/>
      <c r="G167" s="429"/>
      <c r="H167" s="430">
        <f>SUM(H168:H170)</f>
        <v>213323.30000000002</v>
      </c>
      <c r="I167" s="430">
        <f>SUM(I168:I170)</f>
        <v>108071.56999999999</v>
      </c>
      <c r="J167" s="431"/>
      <c r="K167" s="432"/>
      <c r="L167" s="429"/>
      <c r="M167" s="433">
        <f t="shared" si="3"/>
        <v>0.50660931084415051</v>
      </c>
    </row>
    <row r="168" spans="1:13" s="434" customFormat="1" ht="63.75" x14ac:dyDescent="0.25">
      <c r="A168" s="435" t="s">
        <v>437</v>
      </c>
      <c r="B168" s="436" t="s">
        <v>438</v>
      </c>
      <c r="C168" s="437"/>
      <c r="D168" s="438" t="s">
        <v>63</v>
      </c>
      <c r="E168" s="438" t="s">
        <v>64</v>
      </c>
      <c r="F168" s="439"/>
      <c r="G168" s="439"/>
      <c r="H168" s="440">
        <f>3*70341.1</f>
        <v>211023.30000000002</v>
      </c>
      <c r="I168" s="441">
        <f>финансир!L152+финансир!M152</f>
        <v>105576.56999999999</v>
      </c>
      <c r="J168" s="442" t="s">
        <v>438</v>
      </c>
      <c r="K168" s="432" t="s">
        <v>154</v>
      </c>
      <c r="L168" s="439"/>
      <c r="M168" s="433">
        <f>I168/H168</f>
        <v>0.50030764375308312</v>
      </c>
    </row>
    <row r="169" spans="1:13" s="434" customFormat="1" ht="63.75" x14ac:dyDescent="0.25">
      <c r="A169" s="435" t="s">
        <v>439</v>
      </c>
      <c r="B169" s="436" t="s">
        <v>440</v>
      </c>
      <c r="C169" s="437"/>
      <c r="D169" s="443" t="s">
        <v>65</v>
      </c>
      <c r="E169" s="443" t="s">
        <v>66</v>
      </c>
      <c r="F169" s="439"/>
      <c r="G169" s="439"/>
      <c r="H169" s="440">
        <v>500</v>
      </c>
      <c r="J169" s="677" t="s">
        <v>604</v>
      </c>
      <c r="K169" s="661" t="s">
        <v>603</v>
      </c>
      <c r="L169" s="439"/>
    </row>
    <row r="170" spans="1:13" s="434" customFormat="1" ht="202.5" customHeight="1" x14ac:dyDescent="0.25">
      <c r="A170" s="435" t="s">
        <v>441</v>
      </c>
      <c r="B170" s="436" t="s">
        <v>442</v>
      </c>
      <c r="C170" s="437"/>
      <c r="D170" s="438" t="s">
        <v>63</v>
      </c>
      <c r="E170" s="438" t="s">
        <v>64</v>
      </c>
      <c r="F170" s="439"/>
      <c r="G170" s="439"/>
      <c r="H170" s="440">
        <v>1800</v>
      </c>
      <c r="I170" s="441">
        <f>финансир!L154+финансир!M154</f>
        <v>2495</v>
      </c>
      <c r="J170" s="678"/>
      <c r="K170" s="663"/>
      <c r="L170" s="439"/>
      <c r="M170" s="433">
        <f>I162/H162</f>
        <v>2.1178936170212763</v>
      </c>
    </row>
    <row r="171" spans="1:13" s="434" customFormat="1" x14ac:dyDescent="0.25">
      <c r="A171" s="667" t="s">
        <v>494</v>
      </c>
      <c r="B171" s="668"/>
      <c r="C171" s="444"/>
      <c r="D171" s="445"/>
      <c r="E171" s="446"/>
      <c r="F171" s="447"/>
      <c r="G171" s="447"/>
      <c r="H171" s="448"/>
      <c r="I171" s="447"/>
      <c r="J171" s="449"/>
      <c r="K171" s="450"/>
      <c r="L171" s="450"/>
    </row>
    <row r="172" spans="1:13" s="434" customFormat="1" ht="97.5" customHeight="1" x14ac:dyDescent="0.25">
      <c r="A172" s="451"/>
      <c r="B172" s="452" t="s">
        <v>495</v>
      </c>
      <c r="C172" s="444"/>
      <c r="D172" s="453"/>
      <c r="E172" s="454"/>
      <c r="F172" s="455"/>
      <c r="G172" s="455"/>
      <c r="H172" s="456"/>
      <c r="I172" s="455"/>
      <c r="J172" s="457">
        <v>25</v>
      </c>
      <c r="K172" s="458">
        <v>95</v>
      </c>
      <c r="L172" s="452" t="s">
        <v>553</v>
      </c>
    </row>
    <row r="173" spans="1:13" s="434" customFormat="1" ht="102" x14ac:dyDescent="0.25">
      <c r="A173" s="451"/>
      <c r="B173" s="452" t="s">
        <v>5</v>
      </c>
      <c r="C173" s="444"/>
      <c r="D173" s="453"/>
      <c r="E173" s="454"/>
      <c r="F173" s="455"/>
      <c r="G173" s="455"/>
      <c r="H173" s="456"/>
      <c r="I173" s="455"/>
      <c r="J173" s="457">
        <v>4</v>
      </c>
      <c r="K173" s="458">
        <v>16</v>
      </c>
      <c r="L173" s="459" t="s">
        <v>605</v>
      </c>
    </row>
    <row r="174" spans="1:13" s="434" customFormat="1" x14ac:dyDescent="0.25">
      <c r="A174" s="460"/>
      <c r="B174" s="436" t="s">
        <v>456</v>
      </c>
      <c r="C174" s="437"/>
      <c r="D174" s="439"/>
      <c r="E174" s="439"/>
      <c r="F174" s="439"/>
      <c r="G174" s="439"/>
      <c r="H174" s="461">
        <f>H167+H153+H125+H96+H63+H5+H160</f>
        <v>7983730.8799999999</v>
      </c>
      <c r="I174" s="461">
        <f>I167+I153+I125+I96+I63+I5+I160</f>
        <v>7073664.7159200013</v>
      </c>
      <c r="J174" s="432"/>
      <c r="K174" s="432"/>
      <c r="L174" s="439"/>
    </row>
    <row r="175" spans="1:13" x14ac:dyDescent="0.25">
      <c r="I175" s="418">
        <f>I174-(финансир!L156+финансир!M156)</f>
        <v>0</v>
      </c>
    </row>
  </sheetData>
  <mergeCells count="32">
    <mergeCell ref="J169:J170"/>
    <mergeCell ref="K169:K170"/>
    <mergeCell ref="G28:G29"/>
    <mergeCell ref="J28:J29"/>
    <mergeCell ref="A1:K1"/>
    <mergeCell ref="A2:A3"/>
    <mergeCell ref="B2:B3"/>
    <mergeCell ref="C2:C3"/>
    <mergeCell ref="D2:E2"/>
    <mergeCell ref="F2:G2"/>
    <mergeCell ref="H2:I2"/>
    <mergeCell ref="J2:K2"/>
    <mergeCell ref="C5:C27"/>
    <mergeCell ref="F28:F29"/>
    <mergeCell ref="A58:B58"/>
    <mergeCell ref="C65:C72"/>
    <mergeCell ref="C74:C90"/>
    <mergeCell ref="A92:B92"/>
    <mergeCell ref="A28:A29"/>
    <mergeCell ref="B28:B29"/>
    <mergeCell ref="C30:C55"/>
    <mergeCell ref="C143:C144"/>
    <mergeCell ref="C145:C147"/>
    <mergeCell ref="C96:C120"/>
    <mergeCell ref="A171:B171"/>
    <mergeCell ref="A121:B121"/>
    <mergeCell ref="C125:C127"/>
    <mergeCell ref="C129:C131"/>
    <mergeCell ref="C137:C142"/>
    <mergeCell ref="A150:B150"/>
    <mergeCell ref="C160:C166"/>
    <mergeCell ref="A163:B163"/>
  </mergeCells>
  <phoneticPr fontId="38" type="noConversion"/>
  <hyperlinks>
    <hyperlink ref="B31" location="_ftnref1" display="_ftnref1"/>
  </hyperlink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финансир</vt:lpstr>
      <vt:lpstr>Целевые индикаторы </vt:lpstr>
      <vt:lpstr>план-график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2015-11-10T13:12:50Z</dcterms:modified>
</cp:coreProperties>
</file>